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06"/>
  <workbookPr codeName="ThisWorkbook" defaultThemeVersion="166925"/>
  <mc:AlternateContent xmlns:mc="http://schemas.openxmlformats.org/markup-compatibility/2006">
    <mc:Choice Requires="x15">
      <x15ac:absPath xmlns:x15ac="http://schemas.microsoft.com/office/spreadsheetml/2010/11/ac" url="https://othot.sharepoint.com/sites/Marketing2/Shared Documents/Demographic Cliff Analysis/"/>
    </mc:Choice>
  </mc:AlternateContent>
  <xr:revisionPtr revIDLastSave="0" documentId="8_{B7053E89-4A57-4615-A126-4657367C8883}" xr6:coauthVersionLast="47" xr6:coauthVersionMax="47" xr10:uidLastSave="{00000000-0000-0000-0000-000000000000}"/>
  <bookViews>
    <workbookView xWindow="1950" yWindow="750" windowWidth="15330" windowHeight="12750" tabRatio="1000" xr2:uid="{635B52FD-554B-43F9-885D-45F68CE6F9DF}"/>
  </bookViews>
  <sheets>
    <sheet name="Overview + Instructions" sheetId="8" r:id="rId1"/>
    <sheet name="State comparison" sheetId="1" r:id="rId2"/>
    <sheet name="Racial Data Drilldown Dashboard" sheetId="3" r:id="rId3"/>
    <sheet name="Contiguous State Helper Tables" sheetId="13" r:id="rId4"/>
    <sheet name="Vlookups + Validation Lists --&gt;" sheetId="4" r:id="rId5"/>
    <sheet name="Proportion inputs" sheetId="12" r:id="rId6"/>
    <sheet name="States + Regions" sheetId="5" r:id="rId7"/>
    <sheet name="States + Continguous" sheetId="6" r:id="rId8"/>
    <sheet name="Data ---&gt;" sheetId="2" r:id="rId9"/>
    <sheet name="Raw Grawe and Wiche -&gt;" sheetId="9" r:id="rId10"/>
    <sheet name="New Grawe" sheetId="10" r:id="rId11"/>
    <sheet name="New WICHE" sheetId="11" r:id="rId12"/>
    <sheet name="Race data ---&gt;" sheetId="28" r:id="rId13"/>
    <sheet name="Data Processing ---&gt;" sheetId="14" r:id="rId14"/>
    <sheet name="Blend process sheet (Overall)" sheetId="15" r:id="rId15"/>
    <sheet name="Wiche Data ---&gt;" sheetId="16" r:id="rId16"/>
    <sheet name="White" sheetId="17" r:id="rId17"/>
    <sheet name="Black" sheetId="18" r:id="rId18"/>
    <sheet name="LatinX" sheetId="19" r:id="rId19"/>
    <sheet name="Asian-Pacific Islander" sheetId="20" r:id="rId20"/>
    <sheet name="Other W" sheetId="21" r:id="rId21"/>
    <sheet name="Grawe Data ---&gt;" sheetId="22" r:id="rId22"/>
    <sheet name="Non-His White" sheetId="23" r:id="rId23"/>
    <sheet name="Non-His Black" sheetId="24" r:id="rId24"/>
    <sheet name="Hispanic (LatinX)" sheetId="25" r:id="rId25"/>
    <sheet name="Asian - Pacific Islander" sheetId="26" r:id="rId26"/>
    <sheet name="Other G" sheetId="27" r:id="rId2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5" l="1"/>
  <c r="C2" i="15" s="1"/>
  <c r="BG8" i="26"/>
  <c r="BJ10" i="27"/>
  <c r="BI10" i="27"/>
  <c r="BH10" i="27"/>
  <c r="BG10" i="27"/>
  <c r="BF10" i="27"/>
  <c r="BE10" i="27"/>
  <c r="BD10" i="27"/>
  <c r="BC10" i="27"/>
  <c r="BB10" i="27"/>
  <c r="BA10" i="27"/>
  <c r="BJ9" i="27"/>
  <c r="BI9" i="27"/>
  <c r="BH9" i="27"/>
  <c r="BG9" i="27"/>
  <c r="BF9" i="27"/>
  <c r="BE9" i="27"/>
  <c r="BD9" i="27"/>
  <c r="BC9" i="27"/>
  <c r="BB9" i="27"/>
  <c r="BA9" i="27"/>
  <c r="BJ8" i="27"/>
  <c r="BI8" i="27"/>
  <c r="BH8" i="27"/>
  <c r="BG8" i="27"/>
  <c r="BF8" i="27"/>
  <c r="BE8" i="27"/>
  <c r="BD8" i="27"/>
  <c r="BC8" i="27"/>
  <c r="BB8" i="27"/>
  <c r="BA8" i="27"/>
  <c r="BJ7" i="27"/>
  <c r="BI7" i="27"/>
  <c r="BH7" i="27"/>
  <c r="BG7" i="27"/>
  <c r="BF7" i="27"/>
  <c r="BE7" i="27"/>
  <c r="BD7" i="27"/>
  <c r="BC7" i="27"/>
  <c r="BB7" i="27"/>
  <c r="BA7" i="27"/>
  <c r="BJ6" i="27"/>
  <c r="BI6" i="27"/>
  <c r="BH6" i="27"/>
  <c r="BG6" i="27"/>
  <c r="BF6" i="27"/>
  <c r="BE6" i="27"/>
  <c r="BD6" i="27"/>
  <c r="BC6" i="27"/>
  <c r="BB6" i="27"/>
  <c r="BA6" i="27"/>
  <c r="BJ5" i="27"/>
  <c r="BI5" i="27"/>
  <c r="BH5" i="27"/>
  <c r="BG5" i="27"/>
  <c r="BF5" i="27"/>
  <c r="BE5" i="27"/>
  <c r="BD5" i="27"/>
  <c r="BC5" i="27"/>
  <c r="BB5" i="27"/>
  <c r="BA5" i="27"/>
  <c r="BJ4" i="27"/>
  <c r="BI4" i="27"/>
  <c r="BH4" i="27"/>
  <c r="BG4" i="27"/>
  <c r="BF4" i="27"/>
  <c r="BE4" i="27"/>
  <c r="BD4" i="27"/>
  <c r="BC4" i="27"/>
  <c r="BB4" i="27"/>
  <c r="BA4" i="27"/>
  <c r="BJ3" i="27"/>
  <c r="BI3" i="27"/>
  <c r="BH3" i="27"/>
  <c r="BG3" i="27"/>
  <c r="BF3" i="27"/>
  <c r="BE3" i="27"/>
  <c r="BD3" i="27"/>
  <c r="BC3" i="27"/>
  <c r="BB3" i="27"/>
  <c r="BA3" i="27"/>
  <c r="BJ2" i="27"/>
  <c r="BI2" i="27"/>
  <c r="BH2" i="27"/>
  <c r="BG2" i="27"/>
  <c r="BF2" i="27"/>
  <c r="BE2" i="27"/>
  <c r="BD2" i="27"/>
  <c r="BC2" i="27"/>
  <c r="BB2" i="27"/>
  <c r="BA2" i="27"/>
  <c r="BJ10" i="26"/>
  <c r="BI10" i="26"/>
  <c r="BH10" i="26"/>
  <c r="BG10" i="26"/>
  <c r="BF10" i="26"/>
  <c r="BE10" i="26"/>
  <c r="BD10" i="26"/>
  <c r="BC10" i="26"/>
  <c r="BB10" i="26"/>
  <c r="BA10" i="26"/>
  <c r="BJ9" i="26"/>
  <c r="BI9" i="26"/>
  <c r="BH9" i="26"/>
  <c r="BG9" i="26"/>
  <c r="BF9" i="26"/>
  <c r="BE9" i="26"/>
  <c r="BD9" i="26"/>
  <c r="BC9" i="26"/>
  <c r="BB9" i="26"/>
  <c r="BA9" i="26"/>
  <c r="BJ8" i="26"/>
  <c r="BI8" i="26"/>
  <c r="BH8" i="26"/>
  <c r="BF8" i="26"/>
  <c r="BE8" i="26"/>
  <c r="BD8" i="26"/>
  <c r="BC8" i="26"/>
  <c r="BB8" i="26"/>
  <c r="BA8" i="26"/>
  <c r="BJ7" i="26"/>
  <c r="BI7" i="26"/>
  <c r="BH7" i="26"/>
  <c r="BG7" i="26"/>
  <c r="BF7" i="26"/>
  <c r="BE7" i="26"/>
  <c r="BD7" i="26"/>
  <c r="BC7" i="26"/>
  <c r="BB7" i="26"/>
  <c r="BA7" i="26"/>
  <c r="BJ6" i="26"/>
  <c r="BI6" i="26"/>
  <c r="BH6" i="26"/>
  <c r="BG6" i="26"/>
  <c r="BF6" i="26"/>
  <c r="BE6" i="26"/>
  <c r="BD6" i="26"/>
  <c r="BC6" i="26"/>
  <c r="BB6" i="26"/>
  <c r="BA6" i="26"/>
  <c r="BJ5" i="26"/>
  <c r="BI5" i="26"/>
  <c r="BH5" i="26"/>
  <c r="BG5" i="26"/>
  <c r="BF5" i="26"/>
  <c r="BE5" i="26"/>
  <c r="BD5" i="26"/>
  <c r="BC5" i="26"/>
  <c r="BB5" i="26"/>
  <c r="BA5" i="26"/>
  <c r="BJ4" i="26"/>
  <c r="BI4" i="26"/>
  <c r="BH4" i="26"/>
  <c r="BG4" i="26"/>
  <c r="BF4" i="26"/>
  <c r="BE4" i="26"/>
  <c r="BD4" i="26"/>
  <c r="BC4" i="26"/>
  <c r="BB4" i="26"/>
  <c r="BA4" i="26"/>
  <c r="BJ3" i="26"/>
  <c r="BI3" i="26"/>
  <c r="BH3" i="26"/>
  <c r="BG3" i="26"/>
  <c r="BF3" i="26"/>
  <c r="BE3" i="26"/>
  <c r="BD3" i="26"/>
  <c r="BC3" i="26"/>
  <c r="BB3" i="26"/>
  <c r="BA3" i="26"/>
  <c r="BJ2" i="26"/>
  <c r="BI2" i="26"/>
  <c r="BH2" i="26"/>
  <c r="BG2" i="26"/>
  <c r="BF2" i="26"/>
  <c r="BE2" i="26"/>
  <c r="BD2" i="26"/>
  <c r="BC2" i="26"/>
  <c r="BB2" i="26"/>
  <c r="BA2" i="26"/>
  <c r="BJ10" i="25"/>
  <c r="BI10" i="25"/>
  <c r="BH10" i="25"/>
  <c r="BG10" i="25"/>
  <c r="BF10" i="25"/>
  <c r="BE10" i="25"/>
  <c r="BD10" i="25"/>
  <c r="BC10" i="25"/>
  <c r="BB10" i="25"/>
  <c r="BA10" i="25"/>
  <c r="BJ9" i="25"/>
  <c r="BI9" i="25"/>
  <c r="BH9" i="25"/>
  <c r="BG9" i="25"/>
  <c r="BF9" i="25"/>
  <c r="BE9" i="25"/>
  <c r="BD9" i="25"/>
  <c r="BC9" i="25"/>
  <c r="BB9" i="25"/>
  <c r="BA9" i="25"/>
  <c r="BJ8" i="25"/>
  <c r="BI8" i="25"/>
  <c r="BH8" i="25"/>
  <c r="BG8" i="25"/>
  <c r="BF8" i="25"/>
  <c r="BE8" i="25"/>
  <c r="BD8" i="25"/>
  <c r="BC8" i="25"/>
  <c r="BB8" i="25"/>
  <c r="BA8" i="25"/>
  <c r="BJ7" i="25"/>
  <c r="BI7" i="25"/>
  <c r="BH7" i="25"/>
  <c r="BG7" i="25"/>
  <c r="BF7" i="25"/>
  <c r="BE7" i="25"/>
  <c r="BD7" i="25"/>
  <c r="BC7" i="25"/>
  <c r="BB7" i="25"/>
  <c r="BA7" i="25"/>
  <c r="BJ6" i="25"/>
  <c r="BI6" i="25"/>
  <c r="BH6" i="25"/>
  <c r="BG6" i="25"/>
  <c r="BF6" i="25"/>
  <c r="BE6" i="25"/>
  <c r="BD6" i="25"/>
  <c r="BC6" i="25"/>
  <c r="BB6" i="25"/>
  <c r="BA6" i="25"/>
  <c r="BJ5" i="25"/>
  <c r="BI5" i="25"/>
  <c r="BH5" i="25"/>
  <c r="BG5" i="25"/>
  <c r="BF5" i="25"/>
  <c r="BE5" i="25"/>
  <c r="BD5" i="25"/>
  <c r="BC5" i="25"/>
  <c r="BB5" i="25"/>
  <c r="BA5" i="25"/>
  <c r="BJ4" i="25"/>
  <c r="BI4" i="25"/>
  <c r="BH4" i="25"/>
  <c r="BG4" i="25"/>
  <c r="BF4" i="25"/>
  <c r="BE4" i="25"/>
  <c r="BD4" i="25"/>
  <c r="BC4" i="25"/>
  <c r="BB4" i="25"/>
  <c r="BA4" i="25"/>
  <c r="BJ3" i="25"/>
  <c r="BI3" i="25"/>
  <c r="BH3" i="25"/>
  <c r="BG3" i="25"/>
  <c r="BF3" i="25"/>
  <c r="BE3" i="25"/>
  <c r="BD3" i="25"/>
  <c r="BC3" i="25"/>
  <c r="BB3" i="25"/>
  <c r="BA3" i="25"/>
  <c r="BJ2" i="25"/>
  <c r="BI2" i="25"/>
  <c r="BH2" i="25"/>
  <c r="BG2" i="25"/>
  <c r="BF2" i="25"/>
  <c r="BE2" i="25"/>
  <c r="BD2" i="25"/>
  <c r="BC2" i="25"/>
  <c r="BB2" i="25"/>
  <c r="BA2" i="25"/>
  <c r="BJ10" i="24"/>
  <c r="BI10" i="24"/>
  <c r="BH10" i="24"/>
  <c r="BG10" i="24"/>
  <c r="BF10" i="24"/>
  <c r="BE10" i="24"/>
  <c r="BD10" i="24"/>
  <c r="BC10" i="24"/>
  <c r="BB10" i="24"/>
  <c r="BA10" i="24"/>
  <c r="BJ9" i="24"/>
  <c r="BI9" i="24"/>
  <c r="BH9" i="24"/>
  <c r="BG9" i="24"/>
  <c r="BF9" i="24"/>
  <c r="BE9" i="24"/>
  <c r="BD9" i="24"/>
  <c r="BC9" i="24"/>
  <c r="BB9" i="24"/>
  <c r="BA9" i="24"/>
  <c r="BJ8" i="24"/>
  <c r="BI8" i="24"/>
  <c r="BH8" i="24"/>
  <c r="BG8" i="24"/>
  <c r="BF8" i="24"/>
  <c r="BE8" i="24"/>
  <c r="BD8" i="24"/>
  <c r="BC8" i="24"/>
  <c r="BB8" i="24"/>
  <c r="BA8" i="24"/>
  <c r="BJ7" i="24"/>
  <c r="BI7" i="24"/>
  <c r="BH7" i="24"/>
  <c r="BG7" i="24"/>
  <c r="BF7" i="24"/>
  <c r="BE7" i="24"/>
  <c r="BD7" i="24"/>
  <c r="BC7" i="24"/>
  <c r="BB7" i="24"/>
  <c r="BA7" i="24"/>
  <c r="BJ6" i="24"/>
  <c r="BI6" i="24"/>
  <c r="BH6" i="24"/>
  <c r="BG6" i="24"/>
  <c r="BF6" i="24"/>
  <c r="BE6" i="24"/>
  <c r="BD6" i="24"/>
  <c r="BC6" i="24"/>
  <c r="BB6" i="24"/>
  <c r="BA6" i="24"/>
  <c r="BJ5" i="24"/>
  <c r="BI5" i="24"/>
  <c r="BH5" i="24"/>
  <c r="BG5" i="24"/>
  <c r="BF5" i="24"/>
  <c r="BE5" i="24"/>
  <c r="BD5" i="24"/>
  <c r="BC5" i="24"/>
  <c r="BB5" i="24"/>
  <c r="BA5" i="24"/>
  <c r="BJ4" i="24"/>
  <c r="BI4" i="24"/>
  <c r="BH4" i="24"/>
  <c r="BG4" i="24"/>
  <c r="BF4" i="24"/>
  <c r="BE4" i="24"/>
  <c r="BD4" i="24"/>
  <c r="BC4" i="24"/>
  <c r="BB4" i="24"/>
  <c r="BA4" i="24"/>
  <c r="BJ3" i="24"/>
  <c r="BI3" i="24"/>
  <c r="BH3" i="24"/>
  <c r="BG3" i="24"/>
  <c r="BF3" i="24"/>
  <c r="BE3" i="24"/>
  <c r="BD3" i="24"/>
  <c r="BC3" i="24"/>
  <c r="BB3" i="24"/>
  <c r="BA3" i="24"/>
  <c r="BJ2" i="24"/>
  <c r="BI2" i="24"/>
  <c r="BH2" i="24"/>
  <c r="BG2" i="24"/>
  <c r="BF2" i="24"/>
  <c r="BE2" i="24"/>
  <c r="BD2" i="24"/>
  <c r="BC2" i="24"/>
  <c r="BB2" i="24"/>
  <c r="BA2" i="24"/>
  <c r="BJ10" i="23"/>
  <c r="BI10" i="23"/>
  <c r="BH10" i="23"/>
  <c r="BG10" i="23"/>
  <c r="BF10" i="23"/>
  <c r="BE10" i="23"/>
  <c r="BD10" i="23"/>
  <c r="BC10" i="23"/>
  <c r="BB10" i="23"/>
  <c r="BA10" i="23"/>
  <c r="BJ9" i="23"/>
  <c r="BI9" i="23"/>
  <c r="BH9" i="23"/>
  <c r="BG9" i="23"/>
  <c r="BF9" i="23"/>
  <c r="BE9" i="23"/>
  <c r="BD9" i="23"/>
  <c r="BC9" i="23"/>
  <c r="BB9" i="23"/>
  <c r="BA9" i="23"/>
  <c r="BJ8" i="23"/>
  <c r="BI8" i="23"/>
  <c r="BH8" i="23"/>
  <c r="BG8" i="23"/>
  <c r="BF8" i="23"/>
  <c r="BE8" i="23"/>
  <c r="BD8" i="23"/>
  <c r="BC8" i="23"/>
  <c r="BB8" i="23"/>
  <c r="BA8" i="23"/>
  <c r="BJ7" i="23"/>
  <c r="BI7" i="23"/>
  <c r="BH7" i="23"/>
  <c r="BG7" i="23"/>
  <c r="BF7" i="23"/>
  <c r="BE7" i="23"/>
  <c r="BD7" i="23"/>
  <c r="BC7" i="23"/>
  <c r="BB7" i="23"/>
  <c r="BA7" i="23"/>
  <c r="BJ6" i="23"/>
  <c r="BI6" i="23"/>
  <c r="BH6" i="23"/>
  <c r="BG6" i="23"/>
  <c r="BF6" i="23"/>
  <c r="BE6" i="23"/>
  <c r="BD6" i="23"/>
  <c r="BC6" i="23"/>
  <c r="BB6" i="23"/>
  <c r="BA6" i="23"/>
  <c r="BJ5" i="23"/>
  <c r="BI5" i="23"/>
  <c r="BH5" i="23"/>
  <c r="BG5" i="23"/>
  <c r="BF5" i="23"/>
  <c r="BE5" i="23"/>
  <c r="BD5" i="23"/>
  <c r="BC5" i="23"/>
  <c r="BB5" i="23"/>
  <c r="BA5" i="23"/>
  <c r="BJ4" i="23"/>
  <c r="BI4" i="23"/>
  <c r="BH4" i="23"/>
  <c r="BG4" i="23"/>
  <c r="BF4" i="23"/>
  <c r="BE4" i="23"/>
  <c r="BD4" i="23"/>
  <c r="BC4" i="23"/>
  <c r="BB4" i="23"/>
  <c r="BA4" i="23"/>
  <c r="BJ3" i="23"/>
  <c r="BI3" i="23"/>
  <c r="BH3" i="23"/>
  <c r="BG3" i="23"/>
  <c r="BF3" i="23"/>
  <c r="BE3" i="23"/>
  <c r="BD3" i="23"/>
  <c r="BC3" i="23"/>
  <c r="BB3" i="23"/>
  <c r="BA3" i="23"/>
  <c r="BJ2" i="23"/>
  <c r="BI2" i="23"/>
  <c r="BH2" i="23"/>
  <c r="BG2" i="23"/>
  <c r="BF2" i="23"/>
  <c r="BE2" i="23"/>
  <c r="BD2" i="23"/>
  <c r="BC2" i="23"/>
  <c r="BB2" i="23"/>
  <c r="BA2" i="23"/>
  <c r="BJ10" i="21"/>
  <c r="BI10" i="21"/>
  <c r="BH10" i="21"/>
  <c r="BG10" i="21"/>
  <c r="BF10" i="21"/>
  <c r="BE10" i="21"/>
  <c r="BD10" i="21"/>
  <c r="BC10" i="21"/>
  <c r="BB10" i="21"/>
  <c r="BA10" i="21"/>
  <c r="BJ9" i="21"/>
  <c r="BI9" i="21"/>
  <c r="BH9" i="21"/>
  <c r="BG9" i="21"/>
  <c r="BF9" i="21"/>
  <c r="BE9" i="21"/>
  <c r="BD9" i="21"/>
  <c r="BC9" i="21"/>
  <c r="BB9" i="21"/>
  <c r="BA9" i="21"/>
  <c r="BJ8" i="21"/>
  <c r="BI8" i="21"/>
  <c r="BH8" i="21"/>
  <c r="BG8" i="21"/>
  <c r="BF8" i="21"/>
  <c r="BE8" i="21"/>
  <c r="BD8" i="21"/>
  <c r="BC8" i="21"/>
  <c r="BB8" i="21"/>
  <c r="BA8" i="21"/>
  <c r="BJ7" i="21"/>
  <c r="BI7" i="21"/>
  <c r="BH7" i="21"/>
  <c r="BG7" i="21"/>
  <c r="BF7" i="21"/>
  <c r="BE7" i="21"/>
  <c r="BD7" i="21"/>
  <c r="BC7" i="21"/>
  <c r="BB7" i="21"/>
  <c r="BA7" i="21"/>
  <c r="BJ6" i="21"/>
  <c r="BI6" i="21"/>
  <c r="BH6" i="21"/>
  <c r="BG6" i="21"/>
  <c r="BF6" i="21"/>
  <c r="BE6" i="21"/>
  <c r="BD6" i="21"/>
  <c r="BC6" i="21"/>
  <c r="BB6" i="21"/>
  <c r="BA6" i="21"/>
  <c r="BJ5" i="21"/>
  <c r="BI5" i="21"/>
  <c r="BH5" i="21"/>
  <c r="BG5" i="21"/>
  <c r="BF5" i="21"/>
  <c r="BE5" i="21"/>
  <c r="BD5" i="21"/>
  <c r="BC5" i="21"/>
  <c r="BB5" i="21"/>
  <c r="BA5" i="21"/>
  <c r="BJ4" i="21"/>
  <c r="BI4" i="21"/>
  <c r="BH4" i="21"/>
  <c r="BG4" i="21"/>
  <c r="BF4" i="21"/>
  <c r="BE4" i="21"/>
  <c r="BD4" i="21"/>
  <c r="BC4" i="21"/>
  <c r="BB4" i="21"/>
  <c r="BA4" i="21"/>
  <c r="BJ3" i="21"/>
  <c r="BI3" i="21"/>
  <c r="BH3" i="21"/>
  <c r="BG3" i="21"/>
  <c r="BF3" i="21"/>
  <c r="BE3" i="21"/>
  <c r="BD3" i="21"/>
  <c r="BC3" i="21"/>
  <c r="BB3" i="21"/>
  <c r="BA3" i="21"/>
  <c r="BJ2" i="21"/>
  <c r="BI2" i="21"/>
  <c r="BH2" i="21"/>
  <c r="BG2" i="21"/>
  <c r="BF2" i="21"/>
  <c r="BE2" i="21"/>
  <c r="BD2" i="21"/>
  <c r="BC2" i="21"/>
  <c r="BB2" i="21"/>
  <c r="BA2" i="21"/>
  <c r="BJ10" i="20"/>
  <c r="BI10" i="20"/>
  <c r="BH10" i="20"/>
  <c r="BG10" i="20"/>
  <c r="BF10" i="20"/>
  <c r="BE10" i="20"/>
  <c r="BD10" i="20"/>
  <c r="BC10" i="20"/>
  <c r="BB10" i="20"/>
  <c r="BA10" i="20"/>
  <c r="BJ9" i="20"/>
  <c r="BI9" i="20"/>
  <c r="BH9" i="20"/>
  <c r="BG9" i="20"/>
  <c r="BF9" i="20"/>
  <c r="BE9" i="20"/>
  <c r="BD9" i="20"/>
  <c r="BC9" i="20"/>
  <c r="BB9" i="20"/>
  <c r="BA9" i="20"/>
  <c r="BJ8" i="20"/>
  <c r="BI8" i="20"/>
  <c r="BH8" i="20"/>
  <c r="BG8" i="20"/>
  <c r="BF8" i="20"/>
  <c r="BE8" i="20"/>
  <c r="BD8" i="20"/>
  <c r="BC8" i="20"/>
  <c r="BB8" i="20"/>
  <c r="BA8" i="20"/>
  <c r="BJ7" i="20"/>
  <c r="BI7" i="20"/>
  <c r="BH7" i="20"/>
  <c r="BG7" i="20"/>
  <c r="BF7" i="20"/>
  <c r="BE7" i="20"/>
  <c r="BD7" i="20"/>
  <c r="BC7" i="20"/>
  <c r="BB7" i="20"/>
  <c r="BA7" i="20"/>
  <c r="BJ6" i="20"/>
  <c r="BI6" i="20"/>
  <c r="BH6" i="20"/>
  <c r="BG6" i="20"/>
  <c r="BF6" i="20"/>
  <c r="BE6" i="20"/>
  <c r="BD6" i="20"/>
  <c r="BC6" i="20"/>
  <c r="BB6" i="20"/>
  <c r="BA6" i="20"/>
  <c r="BJ5" i="20"/>
  <c r="BI5" i="20"/>
  <c r="BH5" i="20"/>
  <c r="BG5" i="20"/>
  <c r="BF5" i="20"/>
  <c r="BE5" i="20"/>
  <c r="BD5" i="20"/>
  <c r="BC5" i="20"/>
  <c r="BB5" i="20"/>
  <c r="BA5" i="20"/>
  <c r="BJ4" i="20"/>
  <c r="BI4" i="20"/>
  <c r="BH4" i="20"/>
  <c r="BG4" i="20"/>
  <c r="BF4" i="20"/>
  <c r="BE4" i="20"/>
  <c r="BD4" i="20"/>
  <c r="BC4" i="20"/>
  <c r="BB4" i="20"/>
  <c r="BA4" i="20"/>
  <c r="BJ3" i="20"/>
  <c r="BI3" i="20"/>
  <c r="BH3" i="20"/>
  <c r="BG3" i="20"/>
  <c r="BF3" i="20"/>
  <c r="BE3" i="20"/>
  <c r="BD3" i="20"/>
  <c r="BC3" i="20"/>
  <c r="BB3" i="20"/>
  <c r="BA3" i="20"/>
  <c r="BJ2" i="20"/>
  <c r="BI2" i="20"/>
  <c r="BH2" i="20"/>
  <c r="BG2" i="20"/>
  <c r="BF2" i="20"/>
  <c r="BE2" i="20"/>
  <c r="BD2" i="20"/>
  <c r="BC2" i="20"/>
  <c r="BB2" i="20"/>
  <c r="BA2" i="20"/>
  <c r="BJ10" i="19"/>
  <c r="BI10" i="19"/>
  <c r="BH10" i="19"/>
  <c r="BG10" i="19"/>
  <c r="BF10" i="19"/>
  <c r="BE10" i="19"/>
  <c r="BD10" i="19"/>
  <c r="BC10" i="19"/>
  <c r="BB10" i="19"/>
  <c r="BA10" i="19"/>
  <c r="BJ9" i="19"/>
  <c r="BI9" i="19"/>
  <c r="BH9" i="19"/>
  <c r="BG9" i="19"/>
  <c r="BF9" i="19"/>
  <c r="BE9" i="19"/>
  <c r="BD9" i="19"/>
  <c r="BC9" i="19"/>
  <c r="BB9" i="19"/>
  <c r="BA9" i="19"/>
  <c r="BJ8" i="19"/>
  <c r="BI8" i="19"/>
  <c r="BH8" i="19"/>
  <c r="BG8" i="19"/>
  <c r="BF8" i="19"/>
  <c r="BE8" i="19"/>
  <c r="BD8" i="19"/>
  <c r="BC8" i="19"/>
  <c r="BB8" i="19"/>
  <c r="BA8" i="19"/>
  <c r="BJ7" i="19"/>
  <c r="BI7" i="19"/>
  <c r="BH7" i="19"/>
  <c r="BG7" i="19"/>
  <c r="BF7" i="19"/>
  <c r="BE7" i="19"/>
  <c r="BD7" i="19"/>
  <c r="BC7" i="19"/>
  <c r="BB7" i="19"/>
  <c r="BA7" i="19"/>
  <c r="BJ6" i="19"/>
  <c r="BI6" i="19"/>
  <c r="BH6" i="19"/>
  <c r="BG6" i="19"/>
  <c r="BF6" i="19"/>
  <c r="BE6" i="19"/>
  <c r="BD6" i="19"/>
  <c r="BC6" i="19"/>
  <c r="BB6" i="19"/>
  <c r="BA6" i="19"/>
  <c r="BJ5" i="19"/>
  <c r="BI5" i="19"/>
  <c r="BH5" i="19"/>
  <c r="BG5" i="19"/>
  <c r="BF5" i="19"/>
  <c r="BE5" i="19"/>
  <c r="BD5" i="19"/>
  <c r="BC5" i="19"/>
  <c r="BB5" i="19"/>
  <c r="BA5" i="19"/>
  <c r="BJ4" i="19"/>
  <c r="BI4" i="19"/>
  <c r="BH4" i="19"/>
  <c r="BG4" i="19"/>
  <c r="BF4" i="19"/>
  <c r="BE4" i="19"/>
  <c r="BD4" i="19"/>
  <c r="BC4" i="19"/>
  <c r="BB4" i="19"/>
  <c r="BA4" i="19"/>
  <c r="BJ3" i="19"/>
  <c r="BI3" i="19"/>
  <c r="BH3" i="19"/>
  <c r="BG3" i="19"/>
  <c r="BF3" i="19"/>
  <c r="BE3" i="19"/>
  <c r="BD3" i="19"/>
  <c r="BC3" i="19"/>
  <c r="BB3" i="19"/>
  <c r="BA3" i="19"/>
  <c r="BJ2" i="19"/>
  <c r="BI2" i="19"/>
  <c r="BH2" i="19"/>
  <c r="BG2" i="19"/>
  <c r="BF2" i="19"/>
  <c r="BE2" i="19"/>
  <c r="BD2" i="19"/>
  <c r="BC2" i="19"/>
  <c r="BB2" i="19"/>
  <c r="BA2" i="19"/>
  <c r="BJ10" i="18"/>
  <c r="BI10" i="18"/>
  <c r="BH10" i="18"/>
  <c r="BG10" i="18"/>
  <c r="BF10" i="18"/>
  <c r="BE10" i="18"/>
  <c r="BD10" i="18"/>
  <c r="BC10" i="18"/>
  <c r="BB10" i="18"/>
  <c r="BA10" i="18"/>
  <c r="BJ9" i="18"/>
  <c r="BI9" i="18"/>
  <c r="BH9" i="18"/>
  <c r="BG9" i="18"/>
  <c r="BF9" i="18"/>
  <c r="BE9" i="18"/>
  <c r="BD9" i="18"/>
  <c r="BC9" i="18"/>
  <c r="BB9" i="18"/>
  <c r="BA9" i="18"/>
  <c r="BJ8" i="18"/>
  <c r="BI8" i="18"/>
  <c r="BH8" i="18"/>
  <c r="BG8" i="18"/>
  <c r="BF8" i="18"/>
  <c r="BE8" i="18"/>
  <c r="BD8" i="18"/>
  <c r="BC8" i="18"/>
  <c r="BB8" i="18"/>
  <c r="BA8" i="18"/>
  <c r="BJ7" i="18"/>
  <c r="BI7" i="18"/>
  <c r="BH7" i="18"/>
  <c r="BG7" i="18"/>
  <c r="BF7" i="18"/>
  <c r="BE7" i="18"/>
  <c r="BD7" i="18"/>
  <c r="BC7" i="18"/>
  <c r="BB7" i="18"/>
  <c r="BA7" i="18"/>
  <c r="BJ6" i="18"/>
  <c r="BI6" i="18"/>
  <c r="BH6" i="18"/>
  <c r="BG6" i="18"/>
  <c r="BF6" i="18"/>
  <c r="BE6" i="18"/>
  <c r="BD6" i="18"/>
  <c r="BC6" i="18"/>
  <c r="BB6" i="18"/>
  <c r="BA6" i="18"/>
  <c r="BJ5" i="18"/>
  <c r="BI5" i="18"/>
  <c r="BH5" i="18"/>
  <c r="BG5" i="18"/>
  <c r="BF5" i="18"/>
  <c r="BE5" i="18"/>
  <c r="BD5" i="18"/>
  <c r="BC5" i="18"/>
  <c r="BB5" i="18"/>
  <c r="BA5" i="18"/>
  <c r="BJ4" i="18"/>
  <c r="BI4" i="18"/>
  <c r="BH4" i="18"/>
  <c r="BG4" i="18"/>
  <c r="BF4" i="18"/>
  <c r="BE4" i="18"/>
  <c r="BD4" i="18"/>
  <c r="BC4" i="18"/>
  <c r="BB4" i="18"/>
  <c r="BA4" i="18"/>
  <c r="BJ3" i="18"/>
  <c r="BI3" i="18"/>
  <c r="BH3" i="18"/>
  <c r="BG3" i="18"/>
  <c r="BF3" i="18"/>
  <c r="BE3" i="18"/>
  <c r="BD3" i="18"/>
  <c r="BC3" i="18"/>
  <c r="BB3" i="18"/>
  <c r="BA3" i="18"/>
  <c r="BJ2" i="18"/>
  <c r="BI2" i="18"/>
  <c r="BH2" i="18"/>
  <c r="BG2" i="18"/>
  <c r="BF2" i="18"/>
  <c r="BE2" i="18"/>
  <c r="BD2" i="18"/>
  <c r="BC2" i="18"/>
  <c r="BB2" i="18"/>
  <c r="BA2" i="18"/>
  <c r="BB3" i="17"/>
  <c r="BC3" i="17"/>
  <c r="BD3" i="17"/>
  <c r="BE3" i="17"/>
  <c r="BF3" i="17"/>
  <c r="BG3" i="17"/>
  <c r="BH3" i="17"/>
  <c r="BI3" i="17"/>
  <c r="BJ3" i="17"/>
  <c r="BB4" i="17"/>
  <c r="BC4" i="17"/>
  <c r="BD4" i="17"/>
  <c r="BE4" i="17"/>
  <c r="BF4" i="17"/>
  <c r="BG4" i="17"/>
  <c r="BH4" i="17"/>
  <c r="BI4" i="17"/>
  <c r="BJ4" i="17"/>
  <c r="BB5" i="17"/>
  <c r="BC5" i="17"/>
  <c r="BD5" i="17"/>
  <c r="BE5" i="17"/>
  <c r="BF5" i="17"/>
  <c r="BG5" i="17"/>
  <c r="BH5" i="17"/>
  <c r="BI5" i="17"/>
  <c r="BJ5" i="17"/>
  <c r="BB6" i="17"/>
  <c r="BC6" i="17"/>
  <c r="BD6" i="17"/>
  <c r="BE6" i="17"/>
  <c r="BF6" i="17"/>
  <c r="BG6" i="17"/>
  <c r="BH6" i="17"/>
  <c r="BI6" i="17"/>
  <c r="BJ6" i="17"/>
  <c r="BB7" i="17"/>
  <c r="BC7" i="17"/>
  <c r="BD7" i="17"/>
  <c r="BE7" i="17"/>
  <c r="BF7" i="17"/>
  <c r="BG7" i="17"/>
  <c r="BH7" i="17"/>
  <c r="BI7" i="17"/>
  <c r="BJ7" i="17"/>
  <c r="BB8" i="17"/>
  <c r="BC8" i="17"/>
  <c r="BD8" i="17"/>
  <c r="BE8" i="17"/>
  <c r="BF8" i="17"/>
  <c r="BG8" i="17"/>
  <c r="BH8" i="17"/>
  <c r="BI8" i="17"/>
  <c r="BJ8" i="17"/>
  <c r="BB9" i="17"/>
  <c r="BC9" i="17"/>
  <c r="BD9" i="17"/>
  <c r="BE9" i="17"/>
  <c r="BF9" i="17"/>
  <c r="BG9" i="17"/>
  <c r="BH9" i="17"/>
  <c r="BI9" i="17"/>
  <c r="BJ9" i="17"/>
  <c r="BB10" i="17"/>
  <c r="BC10" i="17"/>
  <c r="BD10" i="17"/>
  <c r="BE10" i="17"/>
  <c r="BF10" i="17"/>
  <c r="BG10" i="17"/>
  <c r="BH10" i="17"/>
  <c r="BI10" i="17"/>
  <c r="BJ10" i="17"/>
  <c r="BA3" i="17"/>
  <c r="BA4" i="17"/>
  <c r="BA5" i="17"/>
  <c r="BA6" i="17"/>
  <c r="BA7" i="17"/>
  <c r="BA8" i="17"/>
  <c r="BA9" i="17"/>
  <c r="BA10" i="17"/>
  <c r="BA2" i="17"/>
  <c r="BJ2" i="17"/>
  <c r="BI2" i="17"/>
  <c r="BH2" i="17"/>
  <c r="BG2" i="17"/>
  <c r="BF2" i="17"/>
  <c r="BE2" i="17"/>
  <c r="BD2" i="17"/>
  <c r="BC2" i="17"/>
  <c r="BB2" i="17"/>
  <c r="B3" i="3" l="1"/>
  <c r="B1" i="3"/>
  <c r="C6" i="15"/>
  <c r="H26" i="15"/>
  <c r="H25" i="15"/>
  <c r="H24" i="15"/>
  <c r="H23" i="15"/>
  <c r="H22" i="15"/>
  <c r="H21" i="15"/>
  <c r="H20" i="15"/>
  <c r="H19" i="15"/>
  <c r="H18" i="15"/>
  <c r="G14" i="15"/>
  <c r="F14" i="15"/>
  <c r="E14" i="15"/>
  <c r="D14" i="15"/>
  <c r="C14" i="15"/>
  <c r="G13" i="15"/>
  <c r="F13" i="15"/>
  <c r="E13" i="15"/>
  <c r="D13" i="15"/>
  <c r="C13" i="15"/>
  <c r="H13" i="15" s="1"/>
  <c r="G12" i="15"/>
  <c r="F12" i="15"/>
  <c r="E12" i="15"/>
  <c r="D12" i="15"/>
  <c r="C12" i="15"/>
  <c r="G11" i="15"/>
  <c r="F11" i="15"/>
  <c r="E11" i="15"/>
  <c r="D11" i="15"/>
  <c r="C11" i="15"/>
  <c r="H11" i="15" s="1"/>
  <c r="G10" i="15"/>
  <c r="F10" i="15"/>
  <c r="E10" i="15"/>
  <c r="D10" i="15"/>
  <c r="C10" i="15"/>
  <c r="G9" i="15"/>
  <c r="F9" i="15"/>
  <c r="E9" i="15"/>
  <c r="D9" i="15"/>
  <c r="C9" i="15"/>
  <c r="H9" i="15" s="1"/>
  <c r="G8" i="15"/>
  <c r="F8" i="15"/>
  <c r="E8" i="15"/>
  <c r="D8" i="15"/>
  <c r="C8" i="15"/>
  <c r="G7" i="15"/>
  <c r="F7" i="15"/>
  <c r="E7" i="15"/>
  <c r="D7" i="15"/>
  <c r="C7" i="15"/>
  <c r="H7" i="15" s="1"/>
  <c r="G6" i="15"/>
  <c r="F6" i="15"/>
  <c r="E6" i="15"/>
  <c r="D6" i="15"/>
  <c r="C30" i="15"/>
  <c r="R44" i="13"/>
  <c r="AB40" i="13"/>
  <c r="AB39" i="13"/>
  <c r="AB38" i="13"/>
  <c r="AB37" i="13"/>
  <c r="AB36" i="13"/>
  <c r="AB35" i="13"/>
  <c r="AB34" i="13"/>
  <c r="AB33" i="13"/>
  <c r="AB32" i="13"/>
  <c r="C2" i="13"/>
  <c r="D2" i="13" s="1"/>
  <c r="D3" i="13" s="1"/>
  <c r="BK10" i="11"/>
  <c r="BJ10" i="11"/>
  <c r="BI10" i="11"/>
  <c r="BH10" i="11"/>
  <c r="BG10" i="11"/>
  <c r="BF10" i="11"/>
  <c r="BE10" i="11"/>
  <c r="BD10" i="11"/>
  <c r="BC10" i="11"/>
  <c r="BK9" i="11"/>
  <c r="BJ9" i="11"/>
  <c r="BI9" i="11"/>
  <c r="BH9" i="11"/>
  <c r="BG9" i="11"/>
  <c r="BF9" i="11"/>
  <c r="BE9" i="11"/>
  <c r="BD9" i="11"/>
  <c r="BC9" i="11"/>
  <c r="BK8" i="11"/>
  <c r="BJ8" i="11"/>
  <c r="BI8" i="11"/>
  <c r="BH8" i="11"/>
  <c r="BG8" i="11"/>
  <c r="BF8" i="11"/>
  <c r="BE8" i="11"/>
  <c r="BD8" i="11"/>
  <c r="BC8" i="11"/>
  <c r="BK7" i="11"/>
  <c r="BJ7" i="11"/>
  <c r="BI7" i="11"/>
  <c r="BH7" i="11"/>
  <c r="BG7" i="11"/>
  <c r="BF7" i="11"/>
  <c r="BE7" i="11"/>
  <c r="BD7" i="11"/>
  <c r="BC7" i="11"/>
  <c r="BK6" i="11"/>
  <c r="BJ6" i="11"/>
  <c r="BI6" i="11"/>
  <c r="BH6" i="11"/>
  <c r="BG6" i="11"/>
  <c r="BF6" i="11"/>
  <c r="BE6" i="11"/>
  <c r="BD6" i="11"/>
  <c r="BC6" i="11"/>
  <c r="BK5" i="11"/>
  <c r="BJ5" i="11"/>
  <c r="BI5" i="11"/>
  <c r="BH5" i="11"/>
  <c r="BG5" i="11"/>
  <c r="BF5" i="11"/>
  <c r="BE5" i="11"/>
  <c r="BD5" i="11"/>
  <c r="BC5" i="11"/>
  <c r="BK4" i="11"/>
  <c r="BJ4" i="11"/>
  <c r="BI4" i="11"/>
  <c r="BH4" i="11"/>
  <c r="BG4" i="11"/>
  <c r="BF4" i="11"/>
  <c r="BE4" i="11"/>
  <c r="BD4" i="11"/>
  <c r="BC4" i="11"/>
  <c r="BK3" i="11"/>
  <c r="BJ3" i="11"/>
  <c r="BI3" i="11"/>
  <c r="BH3" i="11"/>
  <c r="BG3" i="11"/>
  <c r="BF3" i="11"/>
  <c r="BE3" i="11"/>
  <c r="BD3" i="11"/>
  <c r="BC3" i="11"/>
  <c r="BK2" i="11"/>
  <c r="BJ2" i="11"/>
  <c r="BI2" i="11"/>
  <c r="BH2" i="11"/>
  <c r="BG2" i="11"/>
  <c r="BF2" i="11"/>
  <c r="BE2" i="11"/>
  <c r="BD2" i="11"/>
  <c r="BC2" i="11"/>
  <c r="BC3" i="10"/>
  <c r="BD3" i="10"/>
  <c r="BE3" i="10"/>
  <c r="BF3" i="10"/>
  <c r="BG3" i="10"/>
  <c r="BH3" i="10"/>
  <c r="BI3" i="10"/>
  <c r="BJ3" i="10"/>
  <c r="BK3" i="10"/>
  <c r="BC4" i="10"/>
  <c r="BD4" i="10"/>
  <c r="BE4" i="10"/>
  <c r="BF4" i="10"/>
  <c r="BG4" i="10"/>
  <c r="BH4" i="10"/>
  <c r="BI4" i="10"/>
  <c r="BJ4" i="10"/>
  <c r="BK4" i="10"/>
  <c r="BC5" i="10"/>
  <c r="BD5" i="10"/>
  <c r="BE5" i="10"/>
  <c r="BF5" i="10"/>
  <c r="BG5" i="10"/>
  <c r="BH5" i="10"/>
  <c r="BI5" i="10"/>
  <c r="BJ5" i="10"/>
  <c r="BK5" i="10"/>
  <c r="BC6" i="10"/>
  <c r="BD6" i="10"/>
  <c r="BE6" i="10"/>
  <c r="BF6" i="10"/>
  <c r="BG6" i="10"/>
  <c r="BH6" i="10"/>
  <c r="BI6" i="10"/>
  <c r="BJ6" i="10"/>
  <c r="BK6" i="10"/>
  <c r="BC7" i="10"/>
  <c r="BD7" i="10"/>
  <c r="BE7" i="10"/>
  <c r="BF7" i="10"/>
  <c r="BG7" i="10"/>
  <c r="BH7" i="10"/>
  <c r="BI7" i="10"/>
  <c r="BJ7" i="10"/>
  <c r="BK7" i="10"/>
  <c r="BC8" i="10"/>
  <c r="BD8" i="10"/>
  <c r="BE8" i="10"/>
  <c r="BF8" i="10"/>
  <c r="BG8" i="10"/>
  <c r="BH8" i="10"/>
  <c r="BI8" i="10"/>
  <c r="BJ8" i="10"/>
  <c r="BK8" i="10"/>
  <c r="BC9" i="10"/>
  <c r="BD9" i="10"/>
  <c r="BE9" i="10"/>
  <c r="BF9" i="10"/>
  <c r="BG9" i="10"/>
  <c r="BH9" i="10"/>
  <c r="BI9" i="10"/>
  <c r="BJ9" i="10"/>
  <c r="BK9" i="10"/>
  <c r="BC10" i="10"/>
  <c r="BD10" i="10"/>
  <c r="BE10" i="10"/>
  <c r="BF10" i="10"/>
  <c r="BG10" i="10"/>
  <c r="BH10" i="10"/>
  <c r="BI10" i="10"/>
  <c r="BJ10" i="10"/>
  <c r="BK10" i="10"/>
  <c r="BK2" i="10"/>
  <c r="BJ2" i="10"/>
  <c r="BI2" i="10"/>
  <c r="BH2" i="10"/>
  <c r="BG2" i="10"/>
  <c r="BF2" i="10"/>
  <c r="BE2" i="10"/>
  <c r="BD2" i="10"/>
  <c r="BC2" i="10"/>
  <c r="E31" i="15" l="1"/>
  <c r="F34" i="15"/>
  <c r="G37" i="15"/>
  <c r="G30" i="15"/>
  <c r="E32" i="15"/>
  <c r="D33" i="15"/>
  <c r="C34" i="15"/>
  <c r="G34" i="15"/>
  <c r="E36" i="15"/>
  <c r="D37" i="15"/>
  <c r="C38" i="15"/>
  <c r="C40" i="15" s="1"/>
  <c r="G38" i="15"/>
  <c r="G40" i="15" s="1"/>
  <c r="F30" i="15"/>
  <c r="G33" i="15"/>
  <c r="E35" i="15"/>
  <c r="F38" i="15"/>
  <c r="F40" i="15" s="1"/>
  <c r="G31" i="15"/>
  <c r="F32" i="15"/>
  <c r="E33" i="15"/>
  <c r="G35" i="15"/>
  <c r="F36" i="15"/>
  <c r="E37" i="15"/>
  <c r="D38" i="15"/>
  <c r="E30" i="15"/>
  <c r="D31" i="15"/>
  <c r="C32" i="15"/>
  <c r="G32" i="15"/>
  <c r="E34" i="15"/>
  <c r="D35" i="15"/>
  <c r="C36" i="15"/>
  <c r="G36" i="15"/>
  <c r="E38" i="15"/>
  <c r="H38" i="15" s="1"/>
  <c r="D30" i="15"/>
  <c r="F31" i="15"/>
  <c r="D32" i="15"/>
  <c r="F33" i="15"/>
  <c r="D34" i="15"/>
  <c r="F35" i="15"/>
  <c r="D36" i="15"/>
  <c r="H36" i="15" s="1"/>
  <c r="F37" i="15"/>
  <c r="H6" i="15"/>
  <c r="H8" i="15"/>
  <c r="H10" i="15"/>
  <c r="H12" i="15"/>
  <c r="H14" i="15"/>
  <c r="C31" i="15"/>
  <c r="C33" i="15"/>
  <c r="C35" i="15"/>
  <c r="C37" i="15"/>
  <c r="I17" i="13"/>
  <c r="H31" i="13" s="1"/>
  <c r="W31" i="13" s="1"/>
  <c r="J2" i="13"/>
  <c r="J5" i="13" s="1"/>
  <c r="N2" i="13"/>
  <c r="N5" i="13" s="1"/>
  <c r="M17" i="13"/>
  <c r="L31" i="13" s="1"/>
  <c r="AA31" i="13" s="1"/>
  <c r="T2" i="13"/>
  <c r="T4" i="13" s="1"/>
  <c r="Z17" i="13"/>
  <c r="X2" i="13"/>
  <c r="X4" i="13" s="1"/>
  <c r="C6" i="13"/>
  <c r="AB2" i="13"/>
  <c r="AB4" i="13" s="1"/>
  <c r="R17" i="13"/>
  <c r="D70" i="1" s="1"/>
  <c r="D71" i="1" s="1"/>
  <c r="F2" i="13"/>
  <c r="F5" i="13" s="1"/>
  <c r="C10" i="13"/>
  <c r="E17" i="13"/>
  <c r="D31" i="13" s="1"/>
  <c r="S31" i="13" s="1"/>
  <c r="V17" i="13"/>
  <c r="H70" i="1" s="1"/>
  <c r="H71" i="1" s="1"/>
  <c r="G2" i="13"/>
  <c r="G6" i="13" s="1"/>
  <c r="K2" i="13"/>
  <c r="K6" i="13" s="1"/>
  <c r="C3" i="13"/>
  <c r="C7" i="13"/>
  <c r="C11" i="13"/>
  <c r="U2" i="13"/>
  <c r="U8" i="13" s="1"/>
  <c r="Y2" i="13"/>
  <c r="Y8" i="13" s="1"/>
  <c r="Q2" i="13"/>
  <c r="F17" i="13"/>
  <c r="E31" i="13" s="1"/>
  <c r="T31" i="13" s="1"/>
  <c r="J17" i="13"/>
  <c r="I31" i="13" s="1"/>
  <c r="X31" i="13" s="1"/>
  <c r="N17" i="13"/>
  <c r="M31" i="13" s="1"/>
  <c r="AB31" i="13" s="1"/>
  <c r="S17" i="13"/>
  <c r="E70" i="1" s="1"/>
  <c r="E71" i="1" s="1"/>
  <c r="W17" i="13"/>
  <c r="I70" i="1" s="1"/>
  <c r="I71" i="1" s="1"/>
  <c r="AA17" i="13"/>
  <c r="M70" i="1" s="1"/>
  <c r="M71" i="1" s="1"/>
  <c r="H2" i="13"/>
  <c r="H3" i="13" s="1"/>
  <c r="L2" i="13"/>
  <c r="L3" i="13" s="1"/>
  <c r="C4" i="13"/>
  <c r="C8" i="13"/>
  <c r="R2" i="13"/>
  <c r="R4" i="13" s="1"/>
  <c r="V2" i="13"/>
  <c r="V8" i="13" s="1"/>
  <c r="Z2" i="13"/>
  <c r="Z7" i="13" s="1"/>
  <c r="G17" i="13"/>
  <c r="F31" i="13" s="1"/>
  <c r="U31" i="13" s="1"/>
  <c r="K17" i="13"/>
  <c r="J31" i="13" s="1"/>
  <c r="Y31" i="13" s="1"/>
  <c r="C17" i="13"/>
  <c r="T17" i="13"/>
  <c r="F70" i="1" s="1"/>
  <c r="F71" i="1" s="1"/>
  <c r="X17" i="13"/>
  <c r="J70" i="1" s="1"/>
  <c r="J71" i="1" s="1"/>
  <c r="AB17" i="13"/>
  <c r="N70" i="1" s="1"/>
  <c r="N71" i="1" s="1"/>
  <c r="E2" i="13"/>
  <c r="E4" i="13" s="1"/>
  <c r="I2" i="13"/>
  <c r="I4" i="13" s="1"/>
  <c r="M2" i="13"/>
  <c r="M4" i="13" s="1"/>
  <c r="C5" i="13"/>
  <c r="C9" i="13"/>
  <c r="S2" i="13"/>
  <c r="S3" i="13" s="1"/>
  <c r="W2" i="13"/>
  <c r="W3" i="13" s="1"/>
  <c r="AA2" i="13"/>
  <c r="AA3" i="13" s="1"/>
  <c r="D17" i="13"/>
  <c r="C31" i="13" s="1"/>
  <c r="R31" i="13" s="1"/>
  <c r="H17" i="13"/>
  <c r="G31" i="13" s="1"/>
  <c r="V31" i="13" s="1"/>
  <c r="L17" i="13"/>
  <c r="K31" i="13" s="1"/>
  <c r="Z31" i="13" s="1"/>
  <c r="U17" i="13"/>
  <c r="Y17" i="13"/>
  <c r="K70" i="1" s="1"/>
  <c r="K71" i="1" s="1"/>
  <c r="X5" i="13"/>
  <c r="U10" i="13"/>
  <c r="D8" i="13"/>
  <c r="D4" i="13"/>
  <c r="D9" i="13"/>
  <c r="D5" i="13"/>
  <c r="D10" i="13"/>
  <c r="D6" i="13"/>
  <c r="D11" i="13"/>
  <c r="D7" i="13"/>
  <c r="I47" i="1"/>
  <c r="G47" i="1"/>
  <c r="I46" i="1"/>
  <c r="G46" i="1"/>
  <c r="I45" i="1"/>
  <c r="G45" i="1"/>
  <c r="I44" i="1"/>
  <c r="G44" i="1"/>
  <c r="I43" i="1"/>
  <c r="G43" i="1"/>
  <c r="I42" i="1"/>
  <c r="G42" i="1"/>
  <c r="I41" i="1"/>
  <c r="G41" i="1"/>
  <c r="I40" i="1"/>
  <c r="G40" i="1"/>
  <c r="I39" i="1"/>
  <c r="G39" i="1"/>
  <c r="I16" i="1"/>
  <c r="I15" i="1"/>
  <c r="I14" i="1"/>
  <c r="I13" i="1"/>
  <c r="I12" i="1"/>
  <c r="I11" i="1"/>
  <c r="I10" i="1"/>
  <c r="I9" i="1"/>
  <c r="G16" i="1"/>
  <c r="G15" i="1"/>
  <c r="G14" i="1"/>
  <c r="G13" i="1"/>
  <c r="G12" i="1"/>
  <c r="G11" i="1"/>
  <c r="G10" i="1"/>
  <c r="G9" i="1"/>
  <c r="G8" i="1"/>
  <c r="I8" i="1"/>
  <c r="E16" i="1"/>
  <c r="E15" i="1"/>
  <c r="E14" i="1"/>
  <c r="E13" i="1"/>
  <c r="E12" i="1"/>
  <c r="E11" i="1"/>
  <c r="E10" i="1"/>
  <c r="E9" i="1"/>
  <c r="C16" i="1"/>
  <c r="C15" i="1"/>
  <c r="C14" i="1"/>
  <c r="C13" i="1"/>
  <c r="C12" i="1"/>
  <c r="C11" i="1"/>
  <c r="C10" i="1"/>
  <c r="C9" i="1"/>
  <c r="C8" i="1"/>
  <c r="E8" i="1"/>
  <c r="B2" i="1"/>
  <c r="B2" i="3" s="1"/>
  <c r="G70" i="1" l="1"/>
  <c r="G71" i="1" s="1"/>
  <c r="H34" i="15"/>
  <c r="E48" i="15" s="1"/>
  <c r="D39" i="15"/>
  <c r="C39" i="15"/>
  <c r="E40" i="15"/>
  <c r="J3" i="13"/>
  <c r="J11" i="13"/>
  <c r="J10" i="13"/>
  <c r="J4" i="13"/>
  <c r="J9" i="13"/>
  <c r="J8" i="13"/>
  <c r="J7" i="13"/>
  <c r="J6" i="13"/>
  <c r="G39" i="15"/>
  <c r="F39" i="15"/>
  <c r="E39" i="15"/>
  <c r="H30" i="15"/>
  <c r="F44" i="15" s="1"/>
  <c r="F52" i="15"/>
  <c r="E47" i="1"/>
  <c r="G50" i="15"/>
  <c r="E50" i="15"/>
  <c r="C50" i="15"/>
  <c r="F50" i="15"/>
  <c r="H35" i="15"/>
  <c r="F54" i="15"/>
  <c r="H33" i="15"/>
  <c r="F47" i="15" s="1"/>
  <c r="D50" i="15"/>
  <c r="C48" i="15"/>
  <c r="H32" i="15"/>
  <c r="D40" i="15"/>
  <c r="H31" i="15"/>
  <c r="F45" i="15" s="1"/>
  <c r="F49" i="15"/>
  <c r="C44" i="15"/>
  <c r="E52" i="15"/>
  <c r="H37" i="15"/>
  <c r="D48" i="15"/>
  <c r="D44" i="15"/>
  <c r="G52" i="15"/>
  <c r="C52" i="15"/>
  <c r="G48" i="15"/>
  <c r="D52" i="15"/>
  <c r="D54" i="15" s="1"/>
  <c r="H7" i="13"/>
  <c r="N4" i="13"/>
  <c r="N9" i="13"/>
  <c r="N11" i="13"/>
  <c r="N7" i="13"/>
  <c r="N3" i="13"/>
  <c r="N10" i="13"/>
  <c r="N8" i="13"/>
  <c r="N6" i="13"/>
  <c r="X8" i="13"/>
  <c r="K8" i="13"/>
  <c r="M9" i="13"/>
  <c r="W6" i="13"/>
  <c r="K10" i="13"/>
  <c r="M11" i="13"/>
  <c r="G10" i="13"/>
  <c r="T11" i="13"/>
  <c r="Y11" i="13"/>
  <c r="AB7" i="13"/>
  <c r="F3" i="13"/>
  <c r="F7" i="13"/>
  <c r="X3" i="13"/>
  <c r="R10" i="13"/>
  <c r="Y5" i="13"/>
  <c r="T9" i="13"/>
  <c r="T7" i="13"/>
  <c r="H5" i="13"/>
  <c r="H8" i="13"/>
  <c r="AA7" i="13"/>
  <c r="AA6" i="13"/>
  <c r="Y7" i="13"/>
  <c r="T3" i="13"/>
  <c r="AA9" i="13"/>
  <c r="T6" i="13"/>
  <c r="T8" i="13"/>
  <c r="R9" i="13"/>
  <c r="Y9" i="13"/>
  <c r="AB11" i="13"/>
  <c r="G7" i="13"/>
  <c r="X6" i="13"/>
  <c r="X11" i="13"/>
  <c r="X7" i="13"/>
  <c r="AA10" i="13"/>
  <c r="R6" i="13"/>
  <c r="Y3" i="13"/>
  <c r="AB6" i="13"/>
  <c r="AA8" i="13"/>
  <c r="R3" i="13"/>
  <c r="H11" i="13"/>
  <c r="H6" i="13"/>
  <c r="H10" i="13"/>
  <c r="H9" i="13"/>
  <c r="H4" i="13"/>
  <c r="AB8" i="13"/>
  <c r="R8" i="13"/>
  <c r="Y6" i="13"/>
  <c r="Y4" i="13"/>
  <c r="U4" i="13"/>
  <c r="T10" i="13"/>
  <c r="T5" i="13"/>
  <c r="AB10" i="13"/>
  <c r="AB9" i="13"/>
  <c r="I5" i="13"/>
  <c r="X9" i="13"/>
  <c r="Z9" i="13"/>
  <c r="X10" i="13"/>
  <c r="E7" i="13"/>
  <c r="V6" i="13"/>
  <c r="I10" i="13"/>
  <c r="L11" i="13"/>
  <c r="L10" i="13"/>
  <c r="E9" i="13"/>
  <c r="V11" i="13"/>
  <c r="E8" i="13"/>
  <c r="E3" i="13"/>
  <c r="L70" i="1"/>
  <c r="L71" i="1" s="1"/>
  <c r="L6" i="13"/>
  <c r="V10" i="13"/>
  <c r="V3" i="13"/>
  <c r="F11" i="13"/>
  <c r="Z11" i="13"/>
  <c r="G11" i="13"/>
  <c r="Z6" i="13"/>
  <c r="L9" i="13"/>
  <c r="F9" i="13"/>
  <c r="F6" i="13"/>
  <c r="I3" i="13"/>
  <c r="I7" i="13"/>
  <c r="G9" i="13"/>
  <c r="E11" i="13"/>
  <c r="L5" i="13"/>
  <c r="L4" i="13"/>
  <c r="F10" i="13"/>
  <c r="S11" i="13"/>
  <c r="V4" i="13"/>
  <c r="V9" i="13"/>
  <c r="S4" i="13"/>
  <c r="V7" i="13"/>
  <c r="L7" i="13"/>
  <c r="F4" i="13"/>
  <c r="F8" i="13"/>
  <c r="G4" i="13"/>
  <c r="E6" i="13"/>
  <c r="E10" i="13"/>
  <c r="E5" i="13"/>
  <c r="L8" i="13"/>
  <c r="AA11" i="13"/>
  <c r="R7" i="13"/>
  <c r="R11" i="13"/>
  <c r="V5" i="13"/>
  <c r="R5" i="13"/>
  <c r="Y10" i="13"/>
  <c r="AA4" i="13"/>
  <c r="AA5" i="13"/>
  <c r="S8" i="13"/>
  <c r="AB5" i="13"/>
  <c r="AB3" i="13"/>
  <c r="K4" i="13"/>
  <c r="M5" i="13"/>
  <c r="K11" i="13"/>
  <c r="W11" i="13"/>
  <c r="U7" i="13"/>
  <c r="W4" i="13"/>
  <c r="I8" i="13"/>
  <c r="M3" i="13"/>
  <c r="G5" i="13"/>
  <c r="K9" i="13"/>
  <c r="I6" i="13"/>
  <c r="M10" i="13"/>
  <c r="G3" i="13"/>
  <c r="K7" i="13"/>
  <c r="S7" i="13"/>
  <c r="S10" i="13"/>
  <c r="Z3" i="13"/>
  <c r="Z5" i="13"/>
  <c r="U11" i="13"/>
  <c r="U6" i="13"/>
  <c r="U5" i="13"/>
  <c r="S5" i="13"/>
  <c r="W9" i="13"/>
  <c r="S9" i="13"/>
  <c r="Z4" i="13"/>
  <c r="Q17" i="13"/>
  <c r="Q8" i="13"/>
  <c r="Q4" i="13"/>
  <c r="Q11" i="13"/>
  <c r="Q7" i="13"/>
  <c r="Q3" i="13"/>
  <c r="Q9" i="13"/>
  <c r="Q5" i="13"/>
  <c r="Q10" i="13"/>
  <c r="Q6" i="13"/>
  <c r="M7" i="13"/>
  <c r="U3" i="13"/>
  <c r="U9" i="13"/>
  <c r="W8" i="13"/>
  <c r="M8" i="13"/>
  <c r="K5" i="13"/>
  <c r="I11" i="13"/>
  <c r="M6" i="13"/>
  <c r="G8" i="13"/>
  <c r="K3" i="13"/>
  <c r="I9" i="13"/>
  <c r="W7" i="13"/>
  <c r="S6" i="13"/>
  <c r="W10" i="13"/>
  <c r="Z8" i="13"/>
  <c r="Z10" i="13"/>
  <c r="W5" i="13"/>
  <c r="D10" i="1"/>
  <c r="D11" i="1"/>
  <c r="D15" i="1"/>
  <c r="F12" i="1"/>
  <c r="F16" i="1"/>
  <c r="F11" i="1"/>
  <c r="D12" i="1"/>
  <c r="D16" i="1"/>
  <c r="D19" i="1" s="1"/>
  <c r="F15" i="1"/>
  <c r="D9" i="1"/>
  <c r="D13" i="1"/>
  <c r="F9" i="1"/>
  <c r="F13" i="1"/>
  <c r="D14" i="1"/>
  <c r="F10" i="1"/>
  <c r="F14" i="1"/>
  <c r="J41" i="1"/>
  <c r="J43" i="1"/>
  <c r="J45" i="1"/>
  <c r="J47" i="1"/>
  <c r="J50" i="1" s="1"/>
  <c r="H41" i="1"/>
  <c r="H43" i="1"/>
  <c r="H45" i="1"/>
  <c r="H47" i="1"/>
  <c r="C40" i="1"/>
  <c r="C44" i="1"/>
  <c r="E40" i="1"/>
  <c r="E44" i="1"/>
  <c r="C41" i="1"/>
  <c r="C45" i="1"/>
  <c r="E41" i="1"/>
  <c r="E45" i="1"/>
  <c r="C39" i="1"/>
  <c r="H40" i="1"/>
  <c r="H42" i="1"/>
  <c r="H44" i="1"/>
  <c r="H46" i="1"/>
  <c r="C42" i="1"/>
  <c r="C46" i="1"/>
  <c r="E42" i="1"/>
  <c r="E46" i="1"/>
  <c r="E39" i="1"/>
  <c r="J40" i="1"/>
  <c r="J42" i="1"/>
  <c r="J44" i="1"/>
  <c r="J48" i="1" s="1"/>
  <c r="J46" i="1"/>
  <c r="C43" i="1"/>
  <c r="C47" i="1"/>
  <c r="E43" i="1"/>
  <c r="J13" i="1"/>
  <c r="J17" i="1" s="1"/>
  <c r="H16" i="1"/>
  <c r="J10" i="1"/>
  <c r="J15" i="1"/>
  <c r="J12" i="1"/>
  <c r="J16" i="1"/>
  <c r="J14" i="1"/>
  <c r="J11" i="1"/>
  <c r="J9" i="1"/>
  <c r="H12" i="1"/>
  <c r="H13" i="1"/>
  <c r="H17" i="1" s="1"/>
  <c r="H10" i="1"/>
  <c r="H14" i="1"/>
  <c r="H9" i="1"/>
  <c r="H11" i="1"/>
  <c r="H15" i="1"/>
  <c r="B4" i="1"/>
  <c r="D17" i="1"/>
  <c r="B4" i="3" l="1"/>
  <c r="J20" i="13"/>
  <c r="I34" i="13" s="1"/>
  <c r="D19" i="13"/>
  <c r="C33" i="13" s="1"/>
  <c r="G23" i="13"/>
  <c r="F37" i="13" s="1"/>
  <c r="C21" i="13"/>
  <c r="C25" i="13"/>
  <c r="C20" i="13"/>
  <c r="C24" i="13"/>
  <c r="C18" i="13"/>
  <c r="C22" i="13"/>
  <c r="C26" i="13"/>
  <c r="C19" i="13"/>
  <c r="C23" i="13"/>
  <c r="G21" i="13"/>
  <c r="F35" i="13" s="1"/>
  <c r="L18" i="13"/>
  <c r="K32" i="13" s="1"/>
  <c r="M18" i="13"/>
  <c r="L32" i="13" s="1"/>
  <c r="I19" i="13"/>
  <c r="H33" i="13" s="1"/>
  <c r="N20" i="13"/>
  <c r="M34" i="13" s="1"/>
  <c r="M19" i="13"/>
  <c r="L33" i="13" s="1"/>
  <c r="D20" i="13"/>
  <c r="D26" i="13"/>
  <c r="D22" i="13"/>
  <c r="F19" i="13"/>
  <c r="E33" i="13" s="1"/>
  <c r="L22" i="13"/>
  <c r="K36" i="13" s="1"/>
  <c r="E19" i="13"/>
  <c r="D33" i="13" s="1"/>
  <c r="I18" i="13"/>
  <c r="H18" i="13"/>
  <c r="G32" i="13" s="1"/>
  <c r="E18" i="13"/>
  <c r="F20" i="13"/>
  <c r="K21" i="13"/>
  <c r="J35" i="13" s="1"/>
  <c r="D23" i="13"/>
  <c r="D18" i="13"/>
  <c r="C32" i="13" s="1"/>
  <c r="D21" i="13"/>
  <c r="D24" i="13"/>
  <c r="H23" i="13"/>
  <c r="D25" i="13"/>
  <c r="R25" i="13" s="1"/>
  <c r="D78" i="1" s="1"/>
  <c r="G25" i="13"/>
  <c r="K23" i="13"/>
  <c r="J37" i="13" s="1"/>
  <c r="N19" i="13"/>
  <c r="M33" i="13" s="1"/>
  <c r="J19" i="13"/>
  <c r="I33" i="13" s="1"/>
  <c r="H40" i="15"/>
  <c r="E44" i="15"/>
  <c r="E54" i="15"/>
  <c r="H39" i="15"/>
  <c r="F48" i="15"/>
  <c r="C70" i="1"/>
  <c r="C71" i="1" s="1"/>
  <c r="R43" i="13"/>
  <c r="H22" i="13"/>
  <c r="V22" i="13" s="1"/>
  <c r="H75" i="1" s="1"/>
  <c r="J18" i="13"/>
  <c r="X20" i="13" s="1"/>
  <c r="J73" i="1" s="1"/>
  <c r="J24" i="13"/>
  <c r="I38" i="13" s="1"/>
  <c r="J26" i="13"/>
  <c r="I40" i="13" s="1"/>
  <c r="J21" i="13"/>
  <c r="I35" i="13" s="1"/>
  <c r="J23" i="13"/>
  <c r="I37" i="13" s="1"/>
  <c r="J25" i="13"/>
  <c r="I39" i="13" s="1"/>
  <c r="N23" i="13"/>
  <c r="M37" i="13" s="1"/>
  <c r="F47" i="1"/>
  <c r="F50" i="1" s="1"/>
  <c r="J22" i="13"/>
  <c r="I36" i="13" s="1"/>
  <c r="C45" i="15"/>
  <c r="C47" i="15"/>
  <c r="G44" i="15"/>
  <c r="C54" i="15"/>
  <c r="H52" i="15"/>
  <c r="G51" i="15"/>
  <c r="D51" i="15"/>
  <c r="E51" i="15"/>
  <c r="C51" i="15"/>
  <c r="E46" i="15"/>
  <c r="C46" i="15"/>
  <c r="G46" i="15"/>
  <c r="F46" i="15"/>
  <c r="D46" i="15"/>
  <c r="F51" i="15"/>
  <c r="H50" i="15"/>
  <c r="D45" i="15"/>
  <c r="E45" i="15"/>
  <c r="G45" i="15"/>
  <c r="H48" i="15"/>
  <c r="E49" i="15"/>
  <c r="D49" i="15"/>
  <c r="G49" i="15"/>
  <c r="E47" i="15"/>
  <c r="D47" i="15"/>
  <c r="G47" i="15"/>
  <c r="C49" i="15"/>
  <c r="N26" i="13"/>
  <c r="M40" i="13" s="1"/>
  <c r="K22" i="13"/>
  <c r="J36" i="13" s="1"/>
  <c r="N18" i="13"/>
  <c r="N22" i="13"/>
  <c r="M36" i="13" s="1"/>
  <c r="K18" i="13"/>
  <c r="Y23" i="13" s="1"/>
  <c r="K76" i="1" s="1"/>
  <c r="K80" i="1" s="1"/>
  <c r="M21" i="13"/>
  <c r="M26" i="13"/>
  <c r="L40" i="13" s="1"/>
  <c r="N24" i="13"/>
  <c r="M38" i="13" s="1"/>
  <c r="N25" i="13"/>
  <c r="M39" i="13" s="1"/>
  <c r="L25" i="13"/>
  <c r="K39" i="13" s="1"/>
  <c r="F26" i="13"/>
  <c r="E40" i="13" s="1"/>
  <c r="N21" i="13"/>
  <c r="M35" i="13" s="1"/>
  <c r="M23" i="13"/>
  <c r="L37" i="13" s="1"/>
  <c r="M25" i="13"/>
  <c r="L39" i="13" s="1"/>
  <c r="M24" i="13"/>
  <c r="L38" i="13" s="1"/>
  <c r="F21" i="13"/>
  <c r="E35" i="13" s="1"/>
  <c r="F18" i="13"/>
  <c r="M22" i="13"/>
  <c r="L36" i="13" s="1"/>
  <c r="K24" i="13"/>
  <c r="F24" i="13"/>
  <c r="E38" i="13" s="1"/>
  <c r="I21" i="13"/>
  <c r="H35" i="13" s="1"/>
  <c r="L24" i="13"/>
  <c r="K38" i="13" s="1"/>
  <c r="I25" i="13"/>
  <c r="W25" i="13" s="1"/>
  <c r="I78" i="1" s="1"/>
  <c r="K20" i="13"/>
  <c r="J34" i="13" s="1"/>
  <c r="I20" i="13"/>
  <c r="H34" i="13" s="1"/>
  <c r="E23" i="13"/>
  <c r="D37" i="13" s="1"/>
  <c r="H24" i="13"/>
  <c r="G38" i="13" s="1"/>
  <c r="K26" i="13"/>
  <c r="J40" i="13" s="1"/>
  <c r="K25" i="13"/>
  <c r="J39" i="13" s="1"/>
  <c r="L21" i="13"/>
  <c r="K35" i="13" s="1"/>
  <c r="H21" i="13"/>
  <c r="G35" i="13" s="1"/>
  <c r="H26" i="13"/>
  <c r="G40" i="13" s="1"/>
  <c r="G37" i="13"/>
  <c r="V23" i="13"/>
  <c r="H76" i="1" s="1"/>
  <c r="H80" i="1" s="1"/>
  <c r="R19" i="13"/>
  <c r="K19" i="13"/>
  <c r="F22" i="13"/>
  <c r="E36" i="13" s="1"/>
  <c r="G26" i="13"/>
  <c r="F40" i="13" s="1"/>
  <c r="E22" i="13"/>
  <c r="D36" i="13" s="1"/>
  <c r="H19" i="13"/>
  <c r="V19" i="13" s="1"/>
  <c r="H72" i="1" s="1"/>
  <c r="R20" i="13"/>
  <c r="D73" i="1" s="1"/>
  <c r="F23" i="13"/>
  <c r="F25" i="13"/>
  <c r="I24" i="13"/>
  <c r="H38" i="13" s="1"/>
  <c r="G22" i="13"/>
  <c r="F36" i="13" s="1"/>
  <c r="H20" i="13"/>
  <c r="V20" i="13" s="1"/>
  <c r="H73" i="1" s="1"/>
  <c r="L26" i="13"/>
  <c r="K40" i="13" s="1"/>
  <c r="H25" i="13"/>
  <c r="G39" i="13" s="1"/>
  <c r="G19" i="13"/>
  <c r="F33" i="13" s="1"/>
  <c r="C37" i="13"/>
  <c r="R23" i="13"/>
  <c r="D76" i="1" s="1"/>
  <c r="D80" i="1" s="1"/>
  <c r="M20" i="13"/>
  <c r="L34" i="13" s="1"/>
  <c r="C39" i="13"/>
  <c r="E34" i="13"/>
  <c r="E26" i="13"/>
  <c r="S26" i="13" s="1"/>
  <c r="E79" i="1" s="1"/>
  <c r="E21" i="13"/>
  <c r="S21" i="13" s="1"/>
  <c r="E74" i="1" s="1"/>
  <c r="G24" i="13"/>
  <c r="F38" i="13" s="1"/>
  <c r="E20" i="13"/>
  <c r="D34" i="13" s="1"/>
  <c r="D32" i="13"/>
  <c r="S19" i="13"/>
  <c r="E72" i="1" s="1"/>
  <c r="L20" i="13"/>
  <c r="K34" i="13" s="1"/>
  <c r="H32" i="13"/>
  <c r="W19" i="13"/>
  <c r="I72" i="1" s="1"/>
  <c r="E24" i="13"/>
  <c r="S24" i="13" s="1"/>
  <c r="E77" i="1" s="1"/>
  <c r="G20" i="13"/>
  <c r="F34" i="13" s="1"/>
  <c r="E25" i="13"/>
  <c r="D39" i="13" s="1"/>
  <c r="L19" i="13"/>
  <c r="Z19" i="13" s="1"/>
  <c r="L72" i="1" s="1"/>
  <c r="I22" i="13"/>
  <c r="H36" i="13" s="1"/>
  <c r="G36" i="13"/>
  <c r="I26" i="13"/>
  <c r="W26" i="13" s="1"/>
  <c r="I79" i="1" s="1"/>
  <c r="Q22" i="13"/>
  <c r="C75" i="1" s="1"/>
  <c r="Z22" i="13"/>
  <c r="L75" i="1" s="1"/>
  <c r="Q20" i="13"/>
  <c r="C73" i="1" s="1"/>
  <c r="Q26" i="13"/>
  <c r="C79" i="1" s="1"/>
  <c r="Q24" i="13"/>
  <c r="C77" i="1" s="1"/>
  <c r="Q23" i="13"/>
  <c r="C76" i="1" s="1"/>
  <c r="L23" i="13"/>
  <c r="Z23" i="13" s="1"/>
  <c r="L76" i="1" s="1"/>
  <c r="L80" i="1" s="1"/>
  <c r="Q19" i="13"/>
  <c r="C72" i="1" s="1"/>
  <c r="G18" i="13"/>
  <c r="AA19" i="13"/>
  <c r="M72" i="1" s="1"/>
  <c r="F39" i="13"/>
  <c r="Q21" i="13"/>
  <c r="C74" i="1" s="1"/>
  <c r="Q25" i="13"/>
  <c r="C78" i="1" s="1"/>
  <c r="I23" i="13"/>
  <c r="C34" i="13"/>
  <c r="C40" i="13"/>
  <c r="R26" i="13"/>
  <c r="D79" i="1" s="1"/>
  <c r="R24" i="13"/>
  <c r="D77" i="1" s="1"/>
  <c r="C38" i="13"/>
  <c r="R22" i="13"/>
  <c r="D75" i="1" s="1"/>
  <c r="C36" i="13"/>
  <c r="R21" i="13"/>
  <c r="D74" i="1" s="1"/>
  <c r="C35" i="13"/>
  <c r="D18" i="1"/>
  <c r="H49" i="1"/>
  <c r="D42" i="1"/>
  <c r="D45" i="1"/>
  <c r="D44" i="1"/>
  <c r="D48" i="1" s="1"/>
  <c r="M8" i="1"/>
  <c r="T44" i="13" s="1"/>
  <c r="N39" i="1"/>
  <c r="M39" i="1"/>
  <c r="N40" i="1"/>
  <c r="N43" i="1"/>
  <c r="F43" i="1"/>
  <c r="F46" i="1"/>
  <c r="N46" i="1"/>
  <c r="D41" i="1"/>
  <c r="D40" i="1"/>
  <c r="N41" i="1"/>
  <c r="J49" i="1"/>
  <c r="D47" i="1"/>
  <c r="F42" i="1"/>
  <c r="H48" i="1"/>
  <c r="N44" i="1"/>
  <c r="F45" i="1"/>
  <c r="F44" i="1"/>
  <c r="F48" i="1" s="1"/>
  <c r="N47" i="1"/>
  <c r="H50" i="1"/>
  <c r="D43" i="1"/>
  <c r="D46" i="1"/>
  <c r="N42" i="1"/>
  <c r="F41" i="1"/>
  <c r="F40" i="1"/>
  <c r="N45" i="1"/>
  <c r="M9" i="1"/>
  <c r="T45" i="13" s="1"/>
  <c r="N8" i="1"/>
  <c r="M10" i="1"/>
  <c r="T46" i="13" s="1"/>
  <c r="M14" i="1"/>
  <c r="T50" i="13" s="1"/>
  <c r="M11" i="1"/>
  <c r="T47" i="13" s="1"/>
  <c r="M15" i="1"/>
  <c r="T51" i="13" s="1"/>
  <c r="M13" i="1"/>
  <c r="M12" i="1"/>
  <c r="T48" i="13" s="1"/>
  <c r="N9" i="1"/>
  <c r="H18" i="1"/>
  <c r="N10" i="1"/>
  <c r="N11" i="1"/>
  <c r="N15" i="1"/>
  <c r="F18" i="1"/>
  <c r="F17" i="1"/>
  <c r="F19" i="1"/>
  <c r="J18" i="1"/>
  <c r="H19" i="1"/>
  <c r="N12" i="1"/>
  <c r="N13" i="1"/>
  <c r="M16" i="1"/>
  <c r="T52" i="13" s="1"/>
  <c r="N14" i="1"/>
  <c r="N16" i="1"/>
  <c r="J19" i="1"/>
  <c r="AA21" i="13" l="1"/>
  <c r="M74" i="1" s="1"/>
  <c r="M17" i="1"/>
  <c r="T49" i="13"/>
  <c r="G14" i="3"/>
  <c r="C15" i="3"/>
  <c r="D14" i="3"/>
  <c r="E13" i="3"/>
  <c r="F12" i="3"/>
  <c r="G15" i="3"/>
  <c r="C11" i="3"/>
  <c r="C12" i="3"/>
  <c r="C16" i="3"/>
  <c r="D11" i="3"/>
  <c r="D15" i="3"/>
  <c r="E10" i="3"/>
  <c r="E14" i="3"/>
  <c r="F9" i="3"/>
  <c r="F13" i="3"/>
  <c r="F17" i="3"/>
  <c r="G12" i="3"/>
  <c r="G16" i="3"/>
  <c r="C10" i="3"/>
  <c r="D10" i="3"/>
  <c r="E9" i="3"/>
  <c r="E17" i="3"/>
  <c r="F16" i="3"/>
  <c r="G11" i="3"/>
  <c r="C13" i="3"/>
  <c r="C17" i="3"/>
  <c r="D12" i="3"/>
  <c r="D16" i="3"/>
  <c r="E11" i="3"/>
  <c r="E15" i="3"/>
  <c r="F10" i="3"/>
  <c r="F14" i="3"/>
  <c r="G9" i="3"/>
  <c r="G13" i="3"/>
  <c r="G17" i="3"/>
  <c r="C9" i="3"/>
  <c r="C14" i="3"/>
  <c r="D9" i="3"/>
  <c r="D13" i="3"/>
  <c r="D17" i="3"/>
  <c r="E12" i="3"/>
  <c r="E16" i="3"/>
  <c r="F11" i="3"/>
  <c r="F15" i="3"/>
  <c r="G10" i="3"/>
  <c r="C36" i="3"/>
  <c r="G36" i="3"/>
  <c r="F37" i="3"/>
  <c r="E38" i="3"/>
  <c r="D39" i="3"/>
  <c r="C40" i="3"/>
  <c r="G40" i="3"/>
  <c r="F41" i="3"/>
  <c r="E42" i="3"/>
  <c r="D43" i="3"/>
  <c r="C44" i="3"/>
  <c r="G44" i="3"/>
  <c r="D36" i="3"/>
  <c r="C37" i="3"/>
  <c r="G37" i="3"/>
  <c r="F38" i="3"/>
  <c r="E39" i="3"/>
  <c r="D40" i="3"/>
  <c r="C41" i="3"/>
  <c r="G41" i="3"/>
  <c r="F42" i="3"/>
  <c r="E43" i="3"/>
  <c r="D44" i="3"/>
  <c r="E36" i="3"/>
  <c r="D37" i="3"/>
  <c r="C38" i="3"/>
  <c r="G38" i="3"/>
  <c r="F39" i="3"/>
  <c r="E40" i="3"/>
  <c r="D41" i="3"/>
  <c r="C42" i="3"/>
  <c r="G42" i="3"/>
  <c r="F43" i="3"/>
  <c r="E44" i="3"/>
  <c r="F36" i="3"/>
  <c r="E37" i="3"/>
  <c r="D38" i="3"/>
  <c r="H38" i="3" s="1"/>
  <c r="C51" i="3" s="1"/>
  <c r="C39" i="3"/>
  <c r="G39" i="3"/>
  <c r="F40" i="3"/>
  <c r="E41" i="3"/>
  <c r="H41" i="3" s="1"/>
  <c r="C54" i="3" s="1"/>
  <c r="D42" i="3"/>
  <c r="C43" i="3"/>
  <c r="G43" i="3"/>
  <c r="F44" i="3"/>
  <c r="H44" i="3" s="1"/>
  <c r="I82" i="1"/>
  <c r="L35" i="13"/>
  <c r="C80" i="1"/>
  <c r="I32" i="13"/>
  <c r="X23" i="13"/>
  <c r="J76" i="1" s="1"/>
  <c r="J80" i="1" s="1"/>
  <c r="X21" i="13"/>
  <c r="J74" i="1" s="1"/>
  <c r="H44" i="15"/>
  <c r="G54" i="15"/>
  <c r="X19" i="13"/>
  <c r="J72" i="1" s="1"/>
  <c r="X25" i="13"/>
  <c r="J78" i="1" s="1"/>
  <c r="X24" i="13"/>
  <c r="J77" i="1" s="1"/>
  <c r="D45" i="3"/>
  <c r="E45" i="3"/>
  <c r="X26" i="13"/>
  <c r="J79" i="1" s="1"/>
  <c r="G45" i="3"/>
  <c r="D72" i="1"/>
  <c r="X22" i="13"/>
  <c r="J75" i="1" s="1"/>
  <c r="H47" i="15"/>
  <c r="H45" i="15"/>
  <c r="H36" i="3"/>
  <c r="H37" i="3"/>
  <c r="D50" i="3" s="1"/>
  <c r="H51" i="15"/>
  <c r="H49" i="15"/>
  <c r="H46" i="15"/>
  <c r="R50" i="13"/>
  <c r="AB26" i="13"/>
  <c r="N79" i="1" s="1"/>
  <c r="Y21" i="13"/>
  <c r="K74" i="1" s="1"/>
  <c r="AA26" i="13"/>
  <c r="M79" i="1" s="1"/>
  <c r="AB22" i="13"/>
  <c r="N75" i="1" s="1"/>
  <c r="M32" i="13"/>
  <c r="AB19" i="13"/>
  <c r="N72" i="1" s="1"/>
  <c r="AB23" i="13"/>
  <c r="N76" i="1" s="1"/>
  <c r="N80" i="1" s="1"/>
  <c r="AB20" i="13"/>
  <c r="N73" i="1" s="1"/>
  <c r="AB24" i="13"/>
  <c r="N77" i="1" s="1"/>
  <c r="J32" i="13"/>
  <c r="Y24" i="13"/>
  <c r="K77" i="1" s="1"/>
  <c r="Y22" i="13"/>
  <c r="K75" i="1" s="1"/>
  <c r="Y19" i="13"/>
  <c r="K72" i="1" s="1"/>
  <c r="AB25" i="13"/>
  <c r="N78" i="1" s="1"/>
  <c r="Z25" i="13"/>
  <c r="L78" i="1" s="1"/>
  <c r="T26" i="13"/>
  <c r="F79" i="1" s="1"/>
  <c r="F82" i="1" s="1"/>
  <c r="AA22" i="13"/>
  <c r="M75" i="1" s="1"/>
  <c r="AA25" i="13"/>
  <c r="M78" i="1" s="1"/>
  <c r="AA23" i="13"/>
  <c r="M76" i="1" s="1"/>
  <c r="M80" i="1" s="1"/>
  <c r="T24" i="13"/>
  <c r="F77" i="1" s="1"/>
  <c r="T25" i="13"/>
  <c r="F78" i="1" s="1"/>
  <c r="Z24" i="13"/>
  <c r="L77" i="1" s="1"/>
  <c r="AA24" i="13"/>
  <c r="M77" i="1" s="1"/>
  <c r="AB21" i="13"/>
  <c r="N74" i="1" s="1"/>
  <c r="T23" i="13"/>
  <c r="F76" i="1" s="1"/>
  <c r="F80" i="1" s="1"/>
  <c r="T19" i="13"/>
  <c r="F72" i="1" s="1"/>
  <c r="E32" i="13"/>
  <c r="Z21" i="13"/>
  <c r="L74" i="1" s="1"/>
  <c r="V24" i="13"/>
  <c r="H77" i="1" s="1"/>
  <c r="T20" i="13"/>
  <c r="F73" i="1" s="1"/>
  <c r="T21" i="13"/>
  <c r="F74" i="1" s="1"/>
  <c r="J38" i="13"/>
  <c r="Y26" i="13"/>
  <c r="K79" i="1" s="1"/>
  <c r="W20" i="13"/>
  <c r="I73" i="1" s="1"/>
  <c r="W21" i="13"/>
  <c r="I74" i="1" s="1"/>
  <c r="H39" i="13"/>
  <c r="V21" i="13"/>
  <c r="H74" i="1" s="1"/>
  <c r="Z26" i="13"/>
  <c r="L79" i="1" s="1"/>
  <c r="Y20" i="13"/>
  <c r="K73" i="1" s="1"/>
  <c r="S23" i="13"/>
  <c r="E76" i="1" s="1"/>
  <c r="E80" i="1" s="1"/>
  <c r="Y25" i="13"/>
  <c r="K78" i="1" s="1"/>
  <c r="AA20" i="13"/>
  <c r="M73" i="1" s="1"/>
  <c r="E39" i="13"/>
  <c r="V26" i="13"/>
  <c r="H79" i="1" s="1"/>
  <c r="W24" i="13"/>
  <c r="I77" i="1" s="1"/>
  <c r="S25" i="13"/>
  <c r="E78" i="1" s="1"/>
  <c r="S22" i="13"/>
  <c r="E75" i="1" s="1"/>
  <c r="U26" i="13"/>
  <c r="G79" i="1" s="1"/>
  <c r="G82" i="1" s="1"/>
  <c r="V25" i="13"/>
  <c r="H78" i="1" s="1"/>
  <c r="D35" i="13"/>
  <c r="N35" i="13" s="1"/>
  <c r="Z35" i="13" s="1"/>
  <c r="E37" i="13"/>
  <c r="J33" i="13"/>
  <c r="G33" i="13"/>
  <c r="G34" i="13"/>
  <c r="D40" i="13"/>
  <c r="T22" i="13"/>
  <c r="F75" i="1" s="1"/>
  <c r="S20" i="13"/>
  <c r="E73" i="1" s="1"/>
  <c r="D38" i="13"/>
  <c r="H40" i="13"/>
  <c r="W22" i="13"/>
  <c r="I75" i="1" s="1"/>
  <c r="Z20" i="13"/>
  <c r="L73" i="1" s="1"/>
  <c r="N34" i="13"/>
  <c r="T34" i="13" s="1"/>
  <c r="U23" i="13"/>
  <c r="G76" i="1" s="1"/>
  <c r="G80" i="1" s="1"/>
  <c r="K33" i="13"/>
  <c r="U24" i="13"/>
  <c r="G77" i="1" s="1"/>
  <c r="U20" i="13"/>
  <c r="G73" i="1" s="1"/>
  <c r="R46" i="13"/>
  <c r="R52" i="13"/>
  <c r="R48" i="13"/>
  <c r="E82" i="1"/>
  <c r="M42" i="1"/>
  <c r="R49" i="13"/>
  <c r="C81" i="1"/>
  <c r="C82" i="1"/>
  <c r="M40" i="1"/>
  <c r="M45" i="1"/>
  <c r="K37" i="13"/>
  <c r="R45" i="13"/>
  <c r="R47" i="13"/>
  <c r="H37" i="13"/>
  <c r="W23" i="13"/>
  <c r="I76" i="1" s="1"/>
  <c r="R51" i="13"/>
  <c r="F32" i="13"/>
  <c r="U21" i="13"/>
  <c r="G74" i="1" s="1"/>
  <c r="U19" i="13"/>
  <c r="G72" i="1" s="1"/>
  <c r="U22" i="13"/>
  <c r="G75" i="1" s="1"/>
  <c r="U25" i="13"/>
  <c r="G78" i="1" s="1"/>
  <c r="N36" i="13"/>
  <c r="R36" i="13" s="1"/>
  <c r="M41" i="1"/>
  <c r="N48" i="1"/>
  <c r="N50" i="1"/>
  <c r="N49" i="1"/>
  <c r="M46" i="1"/>
  <c r="M43" i="1"/>
  <c r="M47" i="1"/>
  <c r="D49" i="1"/>
  <c r="D50" i="1"/>
  <c r="M44" i="1"/>
  <c r="M48" i="1" s="1"/>
  <c r="F49" i="1"/>
  <c r="N17" i="1"/>
  <c r="M18" i="1"/>
  <c r="M19" i="1"/>
  <c r="N19" i="1"/>
  <c r="N18" i="1"/>
  <c r="H43" i="3" l="1"/>
  <c r="G56" i="3" s="1"/>
  <c r="H40" i="3"/>
  <c r="F53" i="3" s="1"/>
  <c r="H42" i="3"/>
  <c r="E55" i="3" s="1"/>
  <c r="H39" i="3"/>
  <c r="D52" i="3" s="1"/>
  <c r="F45" i="3"/>
  <c r="C45" i="3"/>
  <c r="F18" i="3"/>
  <c r="D18" i="3"/>
  <c r="H14" i="3"/>
  <c r="G27" i="3" s="1"/>
  <c r="C27" i="3"/>
  <c r="H9" i="3"/>
  <c r="G22" i="3" s="1"/>
  <c r="G18" i="3"/>
  <c r="F27" i="3"/>
  <c r="C18" i="3"/>
  <c r="H17" i="3"/>
  <c r="C30" i="3" s="1"/>
  <c r="H13" i="3"/>
  <c r="E26" i="3" s="1"/>
  <c r="C26" i="3"/>
  <c r="E18" i="3"/>
  <c r="E22" i="3"/>
  <c r="H10" i="3"/>
  <c r="E23" i="3" s="1"/>
  <c r="E27" i="3"/>
  <c r="H16" i="3"/>
  <c r="C29" i="3" s="1"/>
  <c r="H12" i="3"/>
  <c r="H11" i="3"/>
  <c r="C24" i="3" s="1"/>
  <c r="F25" i="3"/>
  <c r="D27" i="3"/>
  <c r="H15" i="3"/>
  <c r="C28" i="3" s="1"/>
  <c r="I80" i="1"/>
  <c r="I81" i="1"/>
  <c r="H82" i="1"/>
  <c r="H81" i="1"/>
  <c r="L81" i="1"/>
  <c r="L82" i="1"/>
  <c r="K81" i="1"/>
  <c r="K82" i="1"/>
  <c r="M81" i="1"/>
  <c r="M82" i="1"/>
  <c r="N81" i="1"/>
  <c r="N82" i="1"/>
  <c r="J81" i="1"/>
  <c r="J82" i="1"/>
  <c r="F57" i="3"/>
  <c r="H45" i="3"/>
  <c r="D49" i="3"/>
  <c r="G51" i="3"/>
  <c r="E49" i="3"/>
  <c r="G49" i="3"/>
  <c r="D56" i="3"/>
  <c r="F49" i="3"/>
  <c r="F56" i="3"/>
  <c r="C56" i="3"/>
  <c r="G54" i="3"/>
  <c r="C49" i="3"/>
  <c r="E56" i="3"/>
  <c r="C50" i="3"/>
  <c r="E54" i="3"/>
  <c r="F54" i="3"/>
  <c r="D51" i="3"/>
  <c r="C55" i="3"/>
  <c r="D55" i="3"/>
  <c r="F51" i="3"/>
  <c r="G55" i="3"/>
  <c r="F50" i="3"/>
  <c r="E50" i="3"/>
  <c r="F55" i="3"/>
  <c r="G57" i="3"/>
  <c r="G50" i="3"/>
  <c r="C53" i="3"/>
  <c r="C52" i="3"/>
  <c r="E52" i="3"/>
  <c r="E53" i="3"/>
  <c r="D57" i="3"/>
  <c r="G52" i="3"/>
  <c r="F52" i="3"/>
  <c r="E57" i="3"/>
  <c r="C57" i="3"/>
  <c r="G53" i="3"/>
  <c r="D53" i="3"/>
  <c r="E51" i="3"/>
  <c r="D54" i="3"/>
  <c r="N40" i="13"/>
  <c r="R40" i="13" s="1"/>
  <c r="N38" i="13"/>
  <c r="V38" i="13" s="1"/>
  <c r="F81" i="1"/>
  <c r="N32" i="13"/>
  <c r="S32" i="13" s="1"/>
  <c r="W34" i="13"/>
  <c r="Y34" i="13"/>
  <c r="N39" i="13"/>
  <c r="AA39" i="13" s="1"/>
  <c r="S34" i="13"/>
  <c r="E81" i="1"/>
  <c r="N33" i="13"/>
  <c r="AA33" i="13" s="1"/>
  <c r="G81" i="1"/>
  <c r="V34" i="13"/>
  <c r="Z34" i="13"/>
  <c r="U34" i="13"/>
  <c r="R34" i="13"/>
  <c r="X34" i="13"/>
  <c r="AA34" i="13"/>
  <c r="N37" i="13"/>
  <c r="X37" i="13" s="1"/>
  <c r="S35" i="13"/>
  <c r="D81" i="1"/>
  <c r="D82" i="1"/>
  <c r="T36" i="13"/>
  <c r="S36" i="13"/>
  <c r="U36" i="13"/>
  <c r="V36" i="13"/>
  <c r="Z36" i="13"/>
  <c r="W36" i="13"/>
  <c r="X36" i="13"/>
  <c r="AA36" i="13"/>
  <c r="R35" i="13"/>
  <c r="T35" i="13"/>
  <c r="W35" i="13"/>
  <c r="AA35" i="13"/>
  <c r="X35" i="13"/>
  <c r="U35" i="13"/>
  <c r="Y35" i="13"/>
  <c r="Y36" i="13"/>
  <c r="V35" i="13"/>
  <c r="M50" i="1"/>
  <c r="M49" i="1"/>
  <c r="F22" i="3" l="1"/>
  <c r="E30" i="3"/>
  <c r="D28" i="3"/>
  <c r="F28" i="3"/>
  <c r="E28" i="3"/>
  <c r="G28" i="3"/>
  <c r="D24" i="3"/>
  <c r="F24" i="3"/>
  <c r="E24" i="3"/>
  <c r="G24" i="3"/>
  <c r="C25" i="3"/>
  <c r="E25" i="3"/>
  <c r="D25" i="3"/>
  <c r="G25" i="3"/>
  <c r="F29" i="3"/>
  <c r="E29" i="3"/>
  <c r="D29" i="3"/>
  <c r="G29" i="3"/>
  <c r="C23" i="3"/>
  <c r="G23" i="3"/>
  <c r="F23" i="3"/>
  <c r="D23" i="3"/>
  <c r="F26" i="3"/>
  <c r="D26" i="3"/>
  <c r="G26" i="3"/>
  <c r="F30" i="3"/>
  <c r="H18" i="3"/>
  <c r="D30" i="3"/>
  <c r="G30" i="3"/>
  <c r="C22" i="3"/>
  <c r="D22" i="3"/>
  <c r="H27" i="3"/>
  <c r="H49" i="3"/>
  <c r="H50" i="3"/>
  <c r="H56" i="3"/>
  <c r="H55" i="3"/>
  <c r="H53" i="3"/>
  <c r="H54" i="3"/>
  <c r="H51" i="3"/>
  <c r="H52" i="3"/>
  <c r="H57" i="3"/>
  <c r="AA40" i="13"/>
  <c r="V40" i="13"/>
  <c r="Y40" i="13"/>
  <c r="Z40" i="13"/>
  <c r="W40" i="13"/>
  <c r="T40" i="13"/>
  <c r="S40" i="13"/>
  <c r="U40" i="13"/>
  <c r="X40" i="13"/>
  <c r="U38" i="13"/>
  <c r="Z38" i="13"/>
  <c r="Y38" i="13"/>
  <c r="S38" i="13"/>
  <c r="T38" i="13"/>
  <c r="X39" i="13"/>
  <c r="T33" i="13"/>
  <c r="AA38" i="13"/>
  <c r="X38" i="13"/>
  <c r="W38" i="13"/>
  <c r="V39" i="13"/>
  <c r="R38" i="13"/>
  <c r="T39" i="13"/>
  <c r="Y39" i="13"/>
  <c r="R32" i="13"/>
  <c r="Z32" i="13"/>
  <c r="W32" i="13"/>
  <c r="V32" i="13"/>
  <c r="S39" i="13"/>
  <c r="Z39" i="13"/>
  <c r="R39" i="13"/>
  <c r="AA32" i="13"/>
  <c r="Y32" i="13"/>
  <c r="U32" i="13"/>
  <c r="X32" i="13"/>
  <c r="W39" i="13"/>
  <c r="U39" i="13"/>
  <c r="T32" i="13"/>
  <c r="U33" i="13"/>
  <c r="W33" i="13"/>
  <c r="Y33" i="13"/>
  <c r="Z33" i="13"/>
  <c r="R33" i="13"/>
  <c r="S33" i="13"/>
  <c r="X33" i="13"/>
  <c r="V33" i="13"/>
  <c r="S46" i="13"/>
  <c r="AC34" i="13"/>
  <c r="V37" i="13"/>
  <c r="T37" i="13"/>
  <c r="AA37" i="13"/>
  <c r="U37" i="13"/>
  <c r="S37" i="13"/>
  <c r="Y37" i="13"/>
  <c r="Z37" i="13"/>
  <c r="R37" i="13"/>
  <c r="W37" i="13"/>
  <c r="S48" i="13"/>
  <c r="S47" i="13"/>
  <c r="AC36" i="13"/>
  <c r="AC35" i="13"/>
  <c r="H22" i="3" l="1"/>
  <c r="H30" i="3"/>
  <c r="H26" i="3"/>
  <c r="H23" i="3"/>
  <c r="H29" i="3"/>
  <c r="H25" i="3"/>
  <c r="H24" i="3"/>
  <c r="H28" i="3"/>
  <c r="S45" i="13"/>
  <c r="S52" i="13"/>
  <c r="AC40" i="13"/>
  <c r="S50" i="13"/>
  <c r="AC38" i="13"/>
  <c r="AC39" i="13"/>
  <c r="AC32" i="13"/>
  <c r="S44" i="13"/>
  <c r="S51" i="13"/>
  <c r="AC33" i="13"/>
  <c r="AC37" i="13"/>
  <c r="S49" i="13"/>
</calcChain>
</file>

<file path=xl/sharedStrings.xml><?xml version="1.0" encoding="utf-8"?>
<sst xmlns="http://schemas.openxmlformats.org/spreadsheetml/2006/main" count="1278" uniqueCount="145">
  <si>
    <t xml:space="preserve">State </t>
  </si>
  <si>
    <t>AL</t>
  </si>
  <si>
    <t>Use this dropdown to select desired State</t>
  </si>
  <si>
    <t>Region</t>
  </si>
  <si>
    <t>Grawe Proportion</t>
  </si>
  <si>
    <t>Use this dropdown to adjust data blend proportions</t>
  </si>
  <si>
    <t>WICHE Proportion</t>
  </si>
  <si>
    <t>Automatically adjusts to Grawe input</t>
  </si>
  <si>
    <t>State Comparison to National</t>
  </si>
  <si>
    <t>National Grawe</t>
  </si>
  <si>
    <t>National Grawe (Index)</t>
  </si>
  <si>
    <t xml:space="preserve">National Wiche </t>
  </si>
  <si>
    <t>National Wiche (Index)</t>
  </si>
  <si>
    <t>State Grawe</t>
  </si>
  <si>
    <t>State Grawe (Index)</t>
  </si>
  <si>
    <t xml:space="preserve">State Wiche </t>
  </si>
  <si>
    <t>State Wiche (Index)</t>
  </si>
  <si>
    <t>Baseline</t>
  </si>
  <si>
    <t>National Blend</t>
  </si>
  <si>
    <t>State Blend</t>
  </si>
  <si>
    <t>20-25</t>
  </si>
  <si>
    <t>25-28</t>
  </si>
  <si>
    <t>20-28</t>
  </si>
  <si>
    <t>State Comparison to Region</t>
  </si>
  <si>
    <t>Regional Grawe</t>
  </si>
  <si>
    <t>Regional Grawe (Index)</t>
  </si>
  <si>
    <t xml:space="preserve">Regional Wiche </t>
  </si>
  <si>
    <t>Regional Wiche (Index)</t>
  </si>
  <si>
    <t>Regional Blend</t>
  </si>
  <si>
    <t>State Comparison to Contiguous States (Blend Index)</t>
  </si>
  <si>
    <t xml:space="preserve">Note: Unlabeled lines reflect empty cells in the above table. </t>
  </si>
  <si>
    <t>Grawe</t>
  </si>
  <si>
    <t>WICHE</t>
  </si>
  <si>
    <t>State Racial Identity Trends</t>
  </si>
  <si>
    <t>Table (#)</t>
  </si>
  <si>
    <t>White</t>
  </si>
  <si>
    <t>Black</t>
  </si>
  <si>
    <t>Hispanic/LatinX</t>
  </si>
  <si>
    <t>Asian-Pacific Islander</t>
  </si>
  <si>
    <t>Other</t>
  </si>
  <si>
    <t>Total</t>
  </si>
  <si>
    <t>Net Change (#)</t>
  </si>
  <si>
    <t>Table (%)</t>
  </si>
  <si>
    <t>Regional Racial Identity Trends</t>
  </si>
  <si>
    <t>Raw Data for Contiguous Grawe</t>
  </si>
  <si>
    <t>Raw Data for Contiguous WICHE</t>
  </si>
  <si>
    <t>Raw Data for Contiguous Blend</t>
  </si>
  <si>
    <t>Raw Data for Contiguous Blend (Index)</t>
  </si>
  <si>
    <t>Weighted Average Calculations (#)</t>
  </si>
  <si>
    <t>Weighted Average Calculations (%)</t>
  </si>
  <si>
    <t>Weighted Average of Contiguous</t>
  </si>
  <si>
    <t>National</t>
  </si>
  <si>
    <t>Proportion List</t>
  </si>
  <si>
    <t>Primary Region</t>
  </si>
  <si>
    <t>CT</t>
  </si>
  <si>
    <t>New England</t>
  </si>
  <si>
    <t>ME</t>
  </si>
  <si>
    <t>MA</t>
  </si>
  <si>
    <t>NH</t>
  </si>
  <si>
    <t>RI</t>
  </si>
  <si>
    <t>VT</t>
  </si>
  <si>
    <t>NJ</t>
  </si>
  <si>
    <t>Middle Atlantic</t>
  </si>
  <si>
    <t>NY</t>
  </si>
  <si>
    <t>PA</t>
  </si>
  <si>
    <t>IL</t>
  </si>
  <si>
    <t>East North Central</t>
  </si>
  <si>
    <t>IN</t>
  </si>
  <si>
    <t>MI</t>
  </si>
  <si>
    <t>OH</t>
  </si>
  <si>
    <t>WI</t>
  </si>
  <si>
    <t>IA</t>
  </si>
  <si>
    <t>West North Central</t>
  </si>
  <si>
    <t>KS</t>
  </si>
  <si>
    <t>MN</t>
  </si>
  <si>
    <t>MO</t>
  </si>
  <si>
    <t>NE</t>
  </si>
  <si>
    <t>ND</t>
  </si>
  <si>
    <t>SD</t>
  </si>
  <si>
    <t>DE</t>
  </si>
  <si>
    <t>South Atlantic</t>
  </si>
  <si>
    <t>FL</t>
  </si>
  <si>
    <t>GA</t>
  </si>
  <si>
    <t>MD</t>
  </si>
  <si>
    <t>NC</t>
  </si>
  <si>
    <t>SC</t>
  </si>
  <si>
    <t>VA</t>
  </si>
  <si>
    <t>DC</t>
  </si>
  <si>
    <t>WV</t>
  </si>
  <si>
    <t>East South Central</t>
  </si>
  <si>
    <t>KY</t>
  </si>
  <si>
    <t>MS</t>
  </si>
  <si>
    <t>TN</t>
  </si>
  <si>
    <t>AR</t>
  </si>
  <si>
    <t>West South Central</t>
  </si>
  <si>
    <t>LA</t>
  </si>
  <si>
    <t>OK</t>
  </si>
  <si>
    <t>TX</t>
  </si>
  <si>
    <t>AZ</t>
  </si>
  <si>
    <t>Mountain</t>
  </si>
  <si>
    <t>CO</t>
  </si>
  <si>
    <t>ID</t>
  </si>
  <si>
    <t>MT</t>
  </si>
  <si>
    <t>NV</t>
  </si>
  <si>
    <t>NM</t>
  </si>
  <si>
    <t>UT</t>
  </si>
  <si>
    <t>WY</t>
  </si>
  <si>
    <t>AK</t>
  </si>
  <si>
    <t>Pacific</t>
  </si>
  <si>
    <t>CA</t>
  </si>
  <si>
    <t>HI</t>
  </si>
  <si>
    <t>OR</t>
  </si>
  <si>
    <t>WA</t>
  </si>
  <si>
    <t>State</t>
  </si>
  <si>
    <t>Continguous State 1</t>
  </si>
  <si>
    <t>Continguous State 2</t>
  </si>
  <si>
    <t>Continguous State 3</t>
  </si>
  <si>
    <t>Continguous State 4</t>
  </si>
  <si>
    <t>Continguous State 5</t>
  </si>
  <si>
    <t>Continguous State 6</t>
  </si>
  <si>
    <t>Continguous State 7</t>
  </si>
  <si>
    <t>Continguous State 8</t>
  </si>
  <si>
    <t>Continguous State 9</t>
  </si>
  <si>
    <t>Continguous State 10</t>
  </si>
  <si>
    <t>Continguous State 11</t>
  </si>
  <si>
    <t>Cont State X</t>
  </si>
  <si>
    <t>s</t>
  </si>
  <si>
    <t>International</t>
  </si>
  <si>
    <t>Wiche</t>
  </si>
  <si>
    <t>Wiche (#)</t>
  </si>
  <si>
    <t>Non-His White</t>
  </si>
  <si>
    <t>Non-His Black</t>
  </si>
  <si>
    <t>Hispanic</t>
  </si>
  <si>
    <t>Asian</t>
  </si>
  <si>
    <t>American Indian / Alaska Native</t>
  </si>
  <si>
    <t>Asian / Pacific Islander</t>
  </si>
  <si>
    <t>Two or More Races</t>
  </si>
  <si>
    <t>Grawe (#)</t>
  </si>
  <si>
    <t>Blend (#)</t>
  </si>
  <si>
    <t>Net Change 2020-2028 (#)</t>
  </si>
  <si>
    <t>Growth Rate 2020-2028 (%)</t>
  </si>
  <si>
    <t>Blend (%)</t>
  </si>
  <si>
    <t>Change in Share</t>
  </si>
  <si>
    <t>Comment</t>
  </si>
  <si>
    <t xml:space="preserve">This "Other" category is a combination of "Two or More Races" and American Indian/Alaska BIE in the WICHE raw data set.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</si>
</sst>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22"/>
      <color theme="1"/>
      <name val="Calibri"/>
      <family val="2"/>
      <scheme val="minor"/>
    </font>
    <font>
      <b/>
      <sz val="12"/>
      <color rgb="FF000000"/>
      <name val="Calibri"/>
      <family val="2"/>
      <scheme val="minor"/>
    </font>
    <font>
      <sz val="11"/>
      <color rgb="FF000000"/>
      <name val="Calibri"/>
      <family val="2"/>
      <scheme val="minor"/>
    </font>
    <font>
      <b/>
      <sz val="11"/>
      <color rgb="FF000000"/>
      <name val="Calibri"/>
      <family val="2"/>
      <scheme val="minor"/>
    </font>
    <font>
      <b/>
      <sz val="10"/>
      <name val="Arial"/>
      <family val="2"/>
    </font>
    <font>
      <sz val="12"/>
      <color rgb="FF000000"/>
      <name val="Calibri"/>
      <family val="2"/>
      <scheme val="minor"/>
    </font>
    <font>
      <b/>
      <u/>
      <sz val="11"/>
      <color theme="1"/>
      <name val="Calibri"/>
      <family val="2"/>
      <scheme val="minor"/>
    </font>
    <font>
      <i/>
      <sz val="11"/>
      <color theme="1"/>
      <name val="Calibri"/>
      <family val="2"/>
      <scheme val="minor"/>
    </font>
    <font>
      <sz val="12"/>
      <name val="Open Sans Light"/>
      <family val="2"/>
    </font>
    <font>
      <sz val="11"/>
      <name val="Calibri  "/>
    </font>
    <font>
      <sz val="11"/>
      <name val="Calibri"/>
      <family val="2"/>
      <scheme val="minor"/>
    </font>
    <font>
      <sz val="10"/>
      <name val="MS Sans Serif"/>
      <family val="2"/>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cellStyleXfs>
  <cellXfs count="83">
    <xf numFmtId="0" fontId="0" fillId="0" borderId="0" xfId="0"/>
    <xf numFmtId="0" fontId="2" fillId="0" borderId="0" xfId="0" applyFont="1"/>
    <xf numFmtId="164" fontId="0" fillId="0" borderId="0" xfId="1" applyNumberFormat="1" applyFont="1"/>
    <xf numFmtId="0" fontId="3" fillId="0" borderId="0" xfId="0" applyFont="1"/>
    <xf numFmtId="3" fontId="0" fillId="0" borderId="0" xfId="0" applyNumberFormat="1"/>
    <xf numFmtId="43" fontId="0" fillId="0" borderId="0" xfId="0" applyNumberFormat="1"/>
    <xf numFmtId="0" fontId="2" fillId="2" borderId="0" xfId="0" applyFont="1" applyFill="1"/>
    <xf numFmtId="0" fontId="0" fillId="2" borderId="0" xfId="0" applyFill="1"/>
    <xf numFmtId="165" fontId="0" fillId="2" borderId="0" xfId="2" applyNumberFormat="1" applyFont="1" applyFill="1"/>
    <xf numFmtId="0" fontId="3" fillId="2" borderId="0" xfId="0" applyFont="1" applyFill="1"/>
    <xf numFmtId="3" fontId="0" fillId="2" borderId="0" xfId="0" applyNumberFormat="1" applyFill="1"/>
    <xf numFmtId="0" fontId="5" fillId="0" borderId="0" xfId="0" applyFont="1"/>
    <xf numFmtId="0" fontId="6" fillId="0" borderId="0" xfId="0" applyFont="1"/>
    <xf numFmtId="3" fontId="6" fillId="0" borderId="0" xfId="0" applyNumberFormat="1" applyFont="1"/>
    <xf numFmtId="4" fontId="6" fillId="0" borderId="0" xfId="0" applyNumberFormat="1" applyFont="1"/>
    <xf numFmtId="0" fontId="7" fillId="0" borderId="0" xfId="0" applyFont="1"/>
    <xf numFmtId="0" fontId="8" fillId="0" borderId="0" xfId="0" applyFont="1"/>
    <xf numFmtId="0" fontId="9" fillId="0" borderId="0" xfId="0" applyFont="1"/>
    <xf numFmtId="0" fontId="2" fillId="0" borderId="0" xfId="0" applyFont="1" applyFill="1"/>
    <xf numFmtId="0" fontId="0" fillId="0" borderId="0" xfId="0" applyFill="1"/>
    <xf numFmtId="165" fontId="0" fillId="0" borderId="0" xfId="2" applyNumberFormat="1" applyFont="1" applyFill="1"/>
    <xf numFmtId="0" fontId="3" fillId="0" borderId="0" xfId="0" applyFont="1" applyFill="1"/>
    <xf numFmtId="3" fontId="0" fillId="0" borderId="0" xfId="0" applyNumberFormat="1" applyFill="1"/>
    <xf numFmtId="2" fontId="0" fillId="0" borderId="0" xfId="0" applyNumberFormat="1"/>
    <xf numFmtId="0" fontId="0" fillId="0" borderId="4" xfId="0" applyBorder="1"/>
    <xf numFmtId="0" fontId="0" fillId="0" borderId="0" xfId="0" applyBorder="1"/>
    <xf numFmtId="0" fontId="0" fillId="0" borderId="0" xfId="0" applyFont="1" applyBorder="1"/>
    <xf numFmtId="0" fontId="0" fillId="0" borderId="5" xfId="0" applyFont="1" applyBorder="1"/>
    <xf numFmtId="0" fontId="3" fillId="0" borderId="0" xfId="0" applyFont="1" applyBorder="1"/>
    <xf numFmtId="0" fontId="3" fillId="0" borderId="5" xfId="0" applyFont="1" applyBorder="1"/>
    <xf numFmtId="0" fontId="0" fillId="0" borderId="6" xfId="0" applyBorder="1"/>
    <xf numFmtId="0" fontId="3" fillId="0" borderId="7" xfId="0" applyFont="1" applyBorder="1"/>
    <xf numFmtId="0" fontId="3" fillId="0" borderId="8" xfId="0" applyFont="1" applyBorder="1"/>
    <xf numFmtId="2" fontId="0" fillId="0" borderId="0" xfId="0" applyNumberFormat="1" applyBorder="1"/>
    <xf numFmtId="2" fontId="0" fillId="0" borderId="5" xfId="0" applyNumberFormat="1" applyBorder="1"/>
    <xf numFmtId="2" fontId="0" fillId="0" borderId="7" xfId="0" applyNumberFormat="1" applyBorder="1"/>
    <xf numFmtId="2" fontId="0" fillId="0" borderId="8" xfId="0" applyNumberFormat="1" applyBorder="1"/>
    <xf numFmtId="0" fontId="0" fillId="0" borderId="5" xfId="0" applyBorder="1"/>
    <xf numFmtId="0" fontId="0" fillId="0" borderId="7" xfId="0" applyBorder="1"/>
    <xf numFmtId="0" fontId="0" fillId="0" borderId="8" xfId="0" applyBorder="1"/>
    <xf numFmtId="165" fontId="0" fillId="0" borderId="0" xfId="2" applyNumberFormat="1" applyFont="1" applyBorder="1"/>
    <xf numFmtId="165" fontId="0" fillId="0" borderId="5" xfId="2" applyNumberFormat="1" applyFont="1" applyBorder="1"/>
    <xf numFmtId="165" fontId="0" fillId="0" borderId="7" xfId="2" applyNumberFormat="1" applyFont="1" applyBorder="1"/>
    <xf numFmtId="165" fontId="0" fillId="0" borderId="8" xfId="2" applyNumberFormat="1" applyFont="1" applyBorder="1"/>
    <xf numFmtId="0" fontId="0" fillId="0" borderId="1" xfId="0" applyBorder="1"/>
    <xf numFmtId="0" fontId="0" fillId="0" borderId="2" xfId="0" applyBorder="1"/>
    <xf numFmtId="0" fontId="0" fillId="0" borderId="3" xfId="0" applyBorder="1"/>
    <xf numFmtId="0" fontId="2" fillId="0" borderId="1" xfId="0" applyFont="1" applyBorder="1"/>
    <xf numFmtId="0" fontId="2" fillId="0" borderId="4" xfId="0" applyFont="1" applyBorder="1"/>
    <xf numFmtId="0" fontId="2" fillId="0" borderId="6" xfId="0" applyFont="1" applyBorder="1"/>
    <xf numFmtId="0" fontId="11" fillId="0" borderId="0" xfId="0" applyFont="1"/>
    <xf numFmtId="164" fontId="0" fillId="0" borderId="0" xfId="0" applyNumberFormat="1"/>
    <xf numFmtId="165" fontId="0" fillId="0" borderId="0" xfId="2" applyNumberFormat="1" applyFont="1"/>
    <xf numFmtId="10" fontId="0" fillId="0" borderId="0" xfId="2" applyNumberFormat="1" applyFont="1"/>
    <xf numFmtId="164" fontId="12" fillId="4" borderId="9" xfId="1" applyNumberFormat="1" applyFont="1" applyFill="1" applyBorder="1" applyAlignment="1">
      <alignment vertical="center"/>
    </xf>
    <xf numFmtId="3" fontId="13" fillId="0" borderId="0" xfId="0" applyNumberFormat="1" applyFont="1" applyAlignment="1">
      <alignment vertical="center"/>
    </xf>
    <xf numFmtId="0" fontId="13" fillId="0" borderId="0" xfId="0" applyFont="1" applyAlignment="1">
      <alignment vertical="center"/>
    </xf>
    <xf numFmtId="0" fontId="14" fillId="0" borderId="10" xfId="0" applyFont="1" applyBorder="1" applyAlignment="1">
      <alignment wrapText="1"/>
    </xf>
    <xf numFmtId="0" fontId="14" fillId="0" borderId="11" xfId="0" applyFont="1" applyBorder="1" applyAlignment="1">
      <alignment wrapText="1"/>
    </xf>
    <xf numFmtId="3" fontId="14" fillId="0" borderId="11" xfId="0" applyNumberFormat="1" applyFont="1" applyBorder="1" applyAlignment="1">
      <alignment wrapText="1"/>
    </xf>
    <xf numFmtId="0" fontId="6" fillId="0" borderId="11" xfId="0" applyFont="1" applyBorder="1" applyAlignment="1">
      <alignment wrapText="1"/>
    </xf>
    <xf numFmtId="0" fontId="9" fillId="0" borderId="11" xfId="0" applyFont="1" applyBorder="1" applyAlignment="1">
      <alignment wrapText="1"/>
    </xf>
    <xf numFmtId="0" fontId="14" fillId="0" borderId="12" xfId="0" applyFont="1" applyBorder="1" applyAlignment="1">
      <alignment wrapText="1"/>
    </xf>
    <xf numFmtId="0" fontId="14" fillId="0" borderId="0" xfId="0" applyFont="1" applyAlignment="1">
      <alignment wrapText="1"/>
    </xf>
    <xf numFmtId="3" fontId="14" fillId="0" borderId="0" xfId="0" applyNumberFormat="1" applyFont="1" applyAlignment="1">
      <alignment wrapText="1"/>
    </xf>
    <xf numFmtId="0" fontId="6" fillId="0" borderId="0" xfId="0" applyFont="1" applyAlignment="1">
      <alignment wrapText="1"/>
    </xf>
    <xf numFmtId="0" fontId="9" fillId="0" borderId="0" xfId="0" applyFont="1" applyAlignment="1">
      <alignment wrapText="1"/>
    </xf>
    <xf numFmtId="0" fontId="14" fillId="0" borderId="13" xfId="0" applyFont="1" applyBorder="1" applyAlignment="1">
      <alignment wrapText="1"/>
    </xf>
    <xf numFmtId="0" fontId="14" fillId="0" borderId="14" xfId="0" applyFont="1" applyBorder="1" applyAlignment="1">
      <alignment wrapText="1"/>
    </xf>
    <xf numFmtId="3" fontId="14" fillId="0" borderId="14" xfId="0" applyNumberFormat="1" applyFont="1" applyBorder="1" applyAlignment="1">
      <alignment wrapText="1"/>
    </xf>
    <xf numFmtId="0" fontId="6" fillId="0" borderId="14" xfId="0" applyFont="1" applyBorder="1" applyAlignment="1">
      <alignment wrapText="1"/>
    </xf>
    <xf numFmtId="0" fontId="9" fillId="0" borderId="14" xfId="0" applyFont="1" applyBorder="1" applyAlignment="1">
      <alignment wrapText="1"/>
    </xf>
    <xf numFmtId="1" fontId="0" fillId="0" borderId="0" xfId="0" applyNumberFormat="1"/>
    <xf numFmtId="0" fontId="0" fillId="0" borderId="0" xfId="0" applyNumberFormat="1"/>
    <xf numFmtId="164" fontId="12" fillId="4" borderId="15" xfId="1" applyNumberFormat="1" applyFont="1" applyFill="1" applyBorder="1" applyAlignment="1">
      <alignment vertical="center"/>
    </xf>
    <xf numFmtId="43" fontId="0" fillId="0" borderId="0" xfId="0" applyNumberFormat="1" applyBorder="1"/>
    <xf numFmtId="0" fontId="0" fillId="0" borderId="3" xfId="0" applyBorder="1" applyProtection="1">
      <protection locked="0"/>
    </xf>
    <xf numFmtId="0" fontId="0" fillId="0" borderId="5" xfId="0" applyBorder="1" applyProtection="1">
      <protection locked="0"/>
    </xf>
    <xf numFmtId="0" fontId="4" fillId="3" borderId="0" xfId="0" applyFont="1" applyFill="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5" fillId="0" borderId="0" xfId="0" applyFont="1" applyAlignment="1">
      <alignment horizontal="center"/>
    </xf>
  </cellXfs>
  <cellStyles count="4">
    <cellStyle name="Comma" xfId="1" builtinId="3"/>
    <cellStyle name="Normal" xfId="0" builtinId="0"/>
    <cellStyle name="Normal 2" xfId="3" xr:uid="{E159740A-9E64-472C-86EA-8C77CEC67E7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National vs. State</a:t>
            </a:r>
            <a:r>
              <a:rPr lang="en-US" baseline="0"/>
              <a:t> Grawe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'State comparison'!$D$7</c:f>
              <c:strCache>
                <c:ptCount val="1"/>
                <c:pt idx="0">
                  <c:v>National Grawe (Index)</c:v>
                </c:pt>
              </c:strCache>
            </c:strRef>
          </c:tx>
          <c:spPr>
            <a:ln w="28575" cap="rnd">
              <a:solidFill>
                <a:schemeClr val="accent1"/>
              </a:solidFill>
              <a:round/>
            </a:ln>
            <a:effectLst/>
          </c:spPr>
          <c:marker>
            <c:symbol val="none"/>
          </c:marker>
          <c:cat>
            <c:numRef>
              <c:f>'State comparison'!$B$8:$B$16</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comparison'!$D$8:$D$16</c:f>
              <c:numCache>
                <c:formatCode>_(* #,##0.00_);_(* \(#,##0.00\);_(* "-"??_);_(@_)</c:formatCode>
                <c:ptCount val="9"/>
                <c:pt idx="0" formatCode="General">
                  <c:v>100</c:v>
                </c:pt>
                <c:pt idx="1">
                  <c:v>102.47047708256693</c:v>
                </c:pt>
                <c:pt idx="2">
                  <c:v>102.26028784743211</c:v>
                </c:pt>
                <c:pt idx="3">
                  <c:v>103.39488836634186</c:v>
                </c:pt>
                <c:pt idx="4">
                  <c:v>102.86975560031956</c:v>
                </c:pt>
                <c:pt idx="5">
                  <c:v>106.55190798994592</c:v>
                </c:pt>
                <c:pt idx="6">
                  <c:v>103.84806737723702</c:v>
                </c:pt>
                <c:pt idx="7">
                  <c:v>100.29672821089581</c:v>
                </c:pt>
                <c:pt idx="8">
                  <c:v>98.033490907735512</c:v>
                </c:pt>
              </c:numCache>
            </c:numRef>
          </c:val>
          <c:smooth val="0"/>
          <c:extLst>
            <c:ext xmlns:c16="http://schemas.microsoft.com/office/drawing/2014/chart" uri="{C3380CC4-5D6E-409C-BE32-E72D297353CC}">
              <c16:uniqueId val="{00000001-93D6-4CDF-953F-CC50BF283973}"/>
            </c:ext>
          </c:extLst>
        </c:ser>
        <c:ser>
          <c:idx val="2"/>
          <c:order val="1"/>
          <c:tx>
            <c:strRef>
              <c:f>'State comparison'!$H$7</c:f>
              <c:strCache>
                <c:ptCount val="1"/>
                <c:pt idx="0">
                  <c:v>State Grawe (Index)</c:v>
                </c:pt>
              </c:strCache>
            </c:strRef>
          </c:tx>
          <c:spPr>
            <a:ln w="28575" cap="rnd">
              <a:solidFill>
                <a:schemeClr val="accent2"/>
              </a:solidFill>
              <a:round/>
            </a:ln>
            <a:effectLst/>
          </c:spPr>
          <c:marker>
            <c:symbol val="none"/>
          </c:marker>
          <c:cat>
            <c:numRef>
              <c:f>'State comparison'!$B$8:$B$16</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comparison'!$H$8:$H$16</c:f>
              <c:numCache>
                <c:formatCode>_(* #,##0.00_);_(* \(#,##0.00\);_(* "-"??_);_(@_)</c:formatCode>
                <c:ptCount val="9"/>
                <c:pt idx="0" formatCode="General">
                  <c:v>100</c:v>
                </c:pt>
                <c:pt idx="1">
                  <c:v>95.127900701565025</c:v>
                </c:pt>
                <c:pt idx="2">
                  <c:v>91.669724770642205</c:v>
                </c:pt>
                <c:pt idx="3">
                  <c:v>99.086886130599027</c:v>
                </c:pt>
                <c:pt idx="4">
                  <c:v>102.32487857528332</c:v>
                </c:pt>
                <c:pt idx="5">
                  <c:v>99.777657852131668</c:v>
                </c:pt>
                <c:pt idx="6">
                  <c:v>101.5887749595251</c:v>
                </c:pt>
                <c:pt idx="7">
                  <c:v>93.964382083108475</c:v>
                </c:pt>
                <c:pt idx="8">
                  <c:v>91.842417701025369</c:v>
                </c:pt>
              </c:numCache>
            </c:numRef>
          </c:val>
          <c:smooth val="0"/>
          <c:extLst>
            <c:ext xmlns:c16="http://schemas.microsoft.com/office/drawing/2014/chart" uri="{C3380CC4-5D6E-409C-BE32-E72D297353CC}">
              <c16:uniqueId val="{00000002-93D6-4CDF-953F-CC50BF283973}"/>
            </c:ext>
          </c:extLst>
        </c:ser>
        <c:ser>
          <c:idx val="0"/>
          <c:order val="2"/>
          <c:tx>
            <c:strRef>
              <c:f>'State comparison'!$K$7</c:f>
              <c:strCache>
                <c:ptCount val="1"/>
                <c:pt idx="0">
                  <c:v>Baseline</c:v>
                </c:pt>
              </c:strCache>
            </c:strRef>
          </c:tx>
          <c:spPr>
            <a:ln w="28575" cap="rnd">
              <a:solidFill>
                <a:schemeClr val="tx1"/>
              </a:solidFill>
              <a:round/>
            </a:ln>
            <a:effectLst/>
          </c:spPr>
          <c:marker>
            <c:symbol val="none"/>
          </c:marker>
          <c:cat>
            <c:numRef>
              <c:f>'State comparison'!$B$8:$B$16</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comparison'!$K$8:$K$16</c:f>
              <c:numCache>
                <c:formatCode>General</c:formatCode>
                <c:ptCount val="9"/>
                <c:pt idx="0">
                  <c:v>100</c:v>
                </c:pt>
                <c:pt idx="1">
                  <c:v>100</c:v>
                </c:pt>
                <c:pt idx="2">
                  <c:v>100</c:v>
                </c:pt>
                <c:pt idx="3">
                  <c:v>100</c:v>
                </c:pt>
                <c:pt idx="4">
                  <c:v>100</c:v>
                </c:pt>
                <c:pt idx="5">
                  <c:v>100</c:v>
                </c:pt>
                <c:pt idx="6">
                  <c:v>100</c:v>
                </c:pt>
                <c:pt idx="7">
                  <c:v>100</c:v>
                </c:pt>
                <c:pt idx="8">
                  <c:v>100</c:v>
                </c:pt>
              </c:numCache>
            </c:numRef>
          </c:val>
          <c:smooth val="0"/>
          <c:extLst>
            <c:ext xmlns:c16="http://schemas.microsoft.com/office/drawing/2014/chart" uri="{C3380CC4-5D6E-409C-BE32-E72D297353CC}">
              <c16:uniqueId val="{00000001-5065-49C0-BA9F-8FDCAEF31381}"/>
            </c:ext>
          </c:extLst>
        </c:ser>
        <c:dLbls>
          <c:showLegendKey val="0"/>
          <c:showVal val="0"/>
          <c:showCatName val="0"/>
          <c:showSerName val="0"/>
          <c:showPercent val="0"/>
          <c:showBubbleSize val="0"/>
        </c:dLbls>
        <c:smooth val="0"/>
        <c:axId val="924903968"/>
        <c:axId val="924921856"/>
      </c:lineChart>
      <c:catAx>
        <c:axId val="92490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4921856"/>
        <c:crosses val="autoZero"/>
        <c:auto val="1"/>
        <c:lblAlgn val="ctr"/>
        <c:lblOffset val="100"/>
        <c:noMultiLvlLbl val="0"/>
      </c:catAx>
      <c:valAx>
        <c:axId val="924921856"/>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4903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State Net Change 2020-2028 by Race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'Racial Data Drilldown Dashboard'!$B$18</c:f>
              <c:strCache>
                <c:ptCount val="1"/>
                <c:pt idx="0">
                  <c:v>Net Change (#)</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Data Drilldown Dashboard'!$C$8:$G$8</c:f>
              <c:strCache>
                <c:ptCount val="5"/>
                <c:pt idx="0">
                  <c:v>White</c:v>
                </c:pt>
                <c:pt idx="1">
                  <c:v>Black</c:v>
                </c:pt>
                <c:pt idx="2">
                  <c:v>Hispanic/LatinX</c:v>
                </c:pt>
                <c:pt idx="3">
                  <c:v>Asian-Pacific Islander</c:v>
                </c:pt>
                <c:pt idx="4">
                  <c:v>Other</c:v>
                </c:pt>
              </c:strCache>
            </c:strRef>
          </c:cat>
          <c:val>
            <c:numRef>
              <c:f>'Racial Data Drilldown Dashboard'!$C$18:$H$18</c:f>
              <c:numCache>
                <c:formatCode>0</c:formatCode>
                <c:ptCount val="6"/>
                <c:pt idx="0">
                  <c:v>-4393.5939177592627</c:v>
                </c:pt>
                <c:pt idx="1">
                  <c:v>-340.43369080245066</c:v>
                </c:pt>
                <c:pt idx="2">
                  <c:v>2218.2963403119215</c:v>
                </c:pt>
                <c:pt idx="3">
                  <c:v>-98.175609083356107</c:v>
                </c:pt>
                <c:pt idx="4">
                  <c:v>666.14238360800027</c:v>
                </c:pt>
                <c:pt idx="5">
                  <c:v>-1947.7644937251462</c:v>
                </c:pt>
              </c:numCache>
            </c:numRef>
          </c:val>
          <c:extLst>
            <c:ext xmlns:c16="http://schemas.microsoft.com/office/drawing/2014/chart" uri="{C3380CC4-5D6E-409C-BE32-E72D297353CC}">
              <c16:uniqueId val="{00000000-3B2D-4919-A5AE-380BC275E22D}"/>
            </c:ext>
          </c:extLst>
        </c:ser>
        <c:dLbls>
          <c:dLblPos val="outEnd"/>
          <c:showLegendKey val="0"/>
          <c:showVal val="1"/>
          <c:showCatName val="0"/>
          <c:showSerName val="0"/>
          <c:showPercent val="0"/>
          <c:showBubbleSize val="0"/>
        </c:dLbls>
        <c:gapWidth val="219"/>
        <c:overlap val="-27"/>
        <c:axId val="1844137184"/>
        <c:axId val="1844138432"/>
      </c:barChart>
      <c:catAx>
        <c:axId val="184413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4138432"/>
        <c:crosses val="autoZero"/>
        <c:auto val="1"/>
        <c:lblAlgn val="ctr"/>
        <c:lblOffset val="100"/>
        <c:noMultiLvlLbl val="0"/>
      </c:catAx>
      <c:valAx>
        <c:axId val="1844138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413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Regional</a:t>
            </a:r>
            <a:r>
              <a:rPr lang="en-US" baseline="0"/>
              <a:t> Racial Identity Trends 2020-2028 Blend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'Racial Data Drilldown Dashboard'!$B$49</c:f>
              <c:strCache>
                <c:ptCount val="1"/>
                <c:pt idx="0">
                  <c:v>2020</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Data Drilldown Dashboard'!$C$48:$G$48</c:f>
              <c:strCache>
                <c:ptCount val="5"/>
                <c:pt idx="0">
                  <c:v>White</c:v>
                </c:pt>
                <c:pt idx="1">
                  <c:v>Black</c:v>
                </c:pt>
                <c:pt idx="2">
                  <c:v>Hispanic/LatinX</c:v>
                </c:pt>
                <c:pt idx="3">
                  <c:v>Asian-Pacific Islander</c:v>
                </c:pt>
                <c:pt idx="4">
                  <c:v>Other</c:v>
                </c:pt>
              </c:strCache>
            </c:strRef>
          </c:cat>
          <c:val>
            <c:numRef>
              <c:f>'Racial Data Drilldown Dashboard'!$C$49:$G$49</c:f>
              <c:numCache>
                <c:formatCode>0.0%</c:formatCode>
                <c:ptCount val="5"/>
                <c:pt idx="0">
                  <c:v>0.68973574288054695</c:v>
                </c:pt>
                <c:pt idx="1">
                  <c:v>0.20288470530430666</c:v>
                </c:pt>
                <c:pt idx="2">
                  <c:v>6.1159570593625687E-2</c:v>
                </c:pt>
                <c:pt idx="3">
                  <c:v>1.995913177891958E-2</c:v>
                </c:pt>
                <c:pt idx="4">
                  <c:v>2.6260849442601208E-2</c:v>
                </c:pt>
              </c:numCache>
            </c:numRef>
          </c:val>
          <c:extLst>
            <c:ext xmlns:c16="http://schemas.microsoft.com/office/drawing/2014/chart" uri="{C3380CC4-5D6E-409C-BE32-E72D297353CC}">
              <c16:uniqueId val="{00000000-2C74-47AC-A6D6-A7377FFF37B7}"/>
            </c:ext>
          </c:extLst>
        </c:ser>
        <c:ser>
          <c:idx val="1"/>
          <c:order val="1"/>
          <c:tx>
            <c:strRef>
              <c:f>'Racial Data Drilldown Dashboard'!$B$57</c:f>
              <c:strCache>
                <c:ptCount val="1"/>
                <c:pt idx="0">
                  <c:v>2028</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Data Drilldown Dashboard'!$C$48:$G$48</c:f>
              <c:strCache>
                <c:ptCount val="5"/>
                <c:pt idx="0">
                  <c:v>White</c:v>
                </c:pt>
                <c:pt idx="1">
                  <c:v>Black</c:v>
                </c:pt>
                <c:pt idx="2">
                  <c:v>Hispanic/LatinX</c:v>
                </c:pt>
                <c:pt idx="3">
                  <c:v>Asian-Pacific Islander</c:v>
                </c:pt>
                <c:pt idx="4">
                  <c:v>Other</c:v>
                </c:pt>
              </c:strCache>
            </c:strRef>
          </c:cat>
          <c:val>
            <c:numRef>
              <c:f>'Racial Data Drilldown Dashboard'!$C$57:$G$57</c:f>
              <c:numCache>
                <c:formatCode>0.0%</c:formatCode>
                <c:ptCount val="5"/>
                <c:pt idx="0">
                  <c:v>0.63959454034962571</c:v>
                </c:pt>
                <c:pt idx="1">
                  <c:v>0.19222623735417951</c:v>
                </c:pt>
                <c:pt idx="2">
                  <c:v>0.1012859421922248</c:v>
                </c:pt>
                <c:pt idx="3">
                  <c:v>2.514829278258638E-2</c:v>
                </c:pt>
                <c:pt idx="4">
                  <c:v>4.1744987321383618E-2</c:v>
                </c:pt>
              </c:numCache>
            </c:numRef>
          </c:val>
          <c:extLst>
            <c:ext xmlns:c16="http://schemas.microsoft.com/office/drawing/2014/chart" uri="{C3380CC4-5D6E-409C-BE32-E72D297353CC}">
              <c16:uniqueId val="{00000003-2C74-47AC-A6D6-A7377FFF37B7}"/>
            </c:ext>
          </c:extLst>
        </c:ser>
        <c:dLbls>
          <c:dLblPos val="outEnd"/>
          <c:showLegendKey val="0"/>
          <c:showVal val="1"/>
          <c:showCatName val="0"/>
          <c:showSerName val="0"/>
          <c:showPercent val="0"/>
          <c:showBubbleSize val="0"/>
        </c:dLbls>
        <c:gapWidth val="219"/>
        <c:overlap val="-27"/>
        <c:axId val="1923443152"/>
        <c:axId val="1923443984"/>
      </c:barChart>
      <c:catAx>
        <c:axId val="192344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3443984"/>
        <c:crosses val="autoZero"/>
        <c:auto val="1"/>
        <c:lblAlgn val="ctr"/>
        <c:lblOffset val="100"/>
        <c:noMultiLvlLbl val="0"/>
      </c:catAx>
      <c:valAx>
        <c:axId val="1923443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344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Regional</a:t>
            </a:r>
            <a:r>
              <a:rPr lang="en-US" baseline="0"/>
              <a:t> </a:t>
            </a:r>
            <a:r>
              <a:rPr lang="en-US"/>
              <a:t>Net Change by Race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'Racial Data Drilldown Dashboard'!$B$45</c:f>
              <c:strCache>
                <c:ptCount val="1"/>
                <c:pt idx="0">
                  <c:v>Net Change (#)</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Data Drilldown Dashboard'!$C$35:$G$35</c:f>
              <c:strCache>
                <c:ptCount val="5"/>
                <c:pt idx="0">
                  <c:v>White</c:v>
                </c:pt>
                <c:pt idx="1">
                  <c:v>Black</c:v>
                </c:pt>
                <c:pt idx="2">
                  <c:v>Hispanic/LatinX</c:v>
                </c:pt>
                <c:pt idx="3">
                  <c:v>Asian-Pacific Islander</c:v>
                </c:pt>
                <c:pt idx="4">
                  <c:v>Other</c:v>
                </c:pt>
              </c:strCache>
            </c:strRef>
          </c:cat>
          <c:val>
            <c:numRef>
              <c:f>'Racial Data Drilldown Dashboard'!$C$45:$H$45</c:f>
              <c:numCache>
                <c:formatCode>0</c:formatCode>
                <c:ptCount val="6"/>
                <c:pt idx="0">
                  <c:v>-7787.5008275619766</c:v>
                </c:pt>
                <c:pt idx="1">
                  <c:v>-2010.7077475493988</c:v>
                </c:pt>
                <c:pt idx="2">
                  <c:v>2360.2359188781375</c:v>
                </c:pt>
                <c:pt idx="3">
                  <c:v>229.13305790503023</c:v>
                </c:pt>
                <c:pt idx="4">
                  <c:v>893.97843498228212</c:v>
                </c:pt>
                <c:pt idx="5">
                  <c:v>-6314.8611633459223</c:v>
                </c:pt>
              </c:numCache>
            </c:numRef>
          </c:val>
          <c:extLst>
            <c:ext xmlns:c16="http://schemas.microsoft.com/office/drawing/2014/chart" uri="{C3380CC4-5D6E-409C-BE32-E72D297353CC}">
              <c16:uniqueId val="{00000000-67DE-446F-B478-D4C34F5A501E}"/>
            </c:ext>
          </c:extLst>
        </c:ser>
        <c:dLbls>
          <c:showLegendKey val="0"/>
          <c:showVal val="0"/>
          <c:showCatName val="0"/>
          <c:showSerName val="0"/>
          <c:showPercent val="0"/>
          <c:showBubbleSize val="0"/>
        </c:dLbls>
        <c:gapWidth val="219"/>
        <c:overlap val="-27"/>
        <c:axId val="311435424"/>
        <c:axId val="311442496"/>
      </c:barChart>
      <c:catAx>
        <c:axId val="311435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442496"/>
        <c:crosses val="autoZero"/>
        <c:auto val="1"/>
        <c:lblAlgn val="ctr"/>
        <c:lblOffset val="100"/>
        <c:noMultiLvlLbl val="0"/>
      </c:catAx>
      <c:valAx>
        <c:axId val="311442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435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'Blend process sheet (Overall)'!$B$54</c:f>
              <c:strCache>
                <c:ptCount val="1"/>
                <c:pt idx="0">
                  <c:v>Change in Share</c:v>
                </c:pt>
              </c:strCache>
            </c:strRef>
          </c:tx>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D53-460E-AB79-C8F3DCF2B083}"/>
              </c:ext>
            </c:extLst>
          </c:dPt>
          <c:dPt>
            <c:idx val="1"/>
            <c:invertIfNegative val="0"/>
            <c:bubble3D val="0"/>
            <c:spPr>
              <a:solidFill>
                <a:srgbClr val="FF0000"/>
              </a:solidFill>
              <a:ln>
                <a:noFill/>
              </a:ln>
              <a:effectLst/>
            </c:spPr>
            <c:extLst>
              <c:ext xmlns:c16="http://schemas.microsoft.com/office/drawing/2014/chart" uri="{C3380CC4-5D6E-409C-BE32-E72D297353CC}">
                <c16:uniqueId val="{00000003-4D53-460E-AB79-C8F3DCF2B0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'Blend process sheet (Overall)'!$C$43:$G$43</c:f>
              <c:strCache>
                <c:ptCount val="5"/>
                <c:pt idx="0">
                  <c:v>Non-His White</c:v>
                </c:pt>
                <c:pt idx="1">
                  <c:v>Non-His Black</c:v>
                </c:pt>
                <c:pt idx="2">
                  <c:v>Hispanic</c:v>
                </c:pt>
                <c:pt idx="3">
                  <c:v>Asian</c:v>
                </c:pt>
                <c:pt idx="4">
                  <c:v>Other</c:v>
                </c:pt>
              </c:strCache>
            </c:strRef>
          </c:cat>
          <c:val>
            <c:numRef>
              <c:f>'Blend process sheet (Overall)'!$C$54:$G$54</c:f>
              <c:numCache>
                <c:formatCode>0.00</c:formatCode>
                <c:ptCount val="5"/>
                <c:pt idx="0">
                  <c:v>-4.9818623766172854E-2</c:v>
                </c:pt>
                <c:pt idx="1">
                  <c:v>-4.5876624709870473E-3</c:v>
                </c:pt>
                <c:pt idx="2">
                  <c:v>3.1455574648781043E-2</c:v>
                </c:pt>
                <c:pt idx="3">
                  <c:v>7.1800427814252069E-3</c:v>
                </c:pt>
                <c:pt idx="4">
                  <c:v>1.5770668806953568E-2</c:v>
                </c:pt>
              </c:numCache>
            </c:numRef>
          </c:val>
          <c:extLst>
            <c:ext xmlns:c16="http://schemas.microsoft.com/office/drawing/2014/chart" uri="{C3380CC4-5D6E-409C-BE32-E72D297353CC}">
              <c16:uniqueId val="{00000004-4D53-460E-AB79-C8F3DCF2B083}"/>
            </c:ext>
          </c:extLst>
        </c:ser>
        <c:dLbls>
          <c:dLblPos val="outEnd"/>
          <c:showLegendKey val="0"/>
          <c:showVal val="1"/>
          <c:showCatName val="0"/>
          <c:showSerName val="0"/>
          <c:showPercent val="0"/>
          <c:showBubbleSize val="0"/>
        </c:dLbls>
        <c:gapWidth val="219"/>
        <c:overlap val="-27"/>
        <c:axId val="456172656"/>
        <c:axId val="456166000"/>
      </c:barChart>
      <c:catAx>
        <c:axId val="45617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166000"/>
        <c:crosses val="autoZero"/>
        <c:auto val="1"/>
        <c:lblAlgn val="ctr"/>
        <c:lblOffset val="100"/>
        <c:noMultiLvlLbl val="0"/>
      </c:catAx>
      <c:valAx>
        <c:axId val="4561660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172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National</a:t>
            </a:r>
            <a:r>
              <a:rPr lang="en-US" baseline="0"/>
              <a:t> vs. State Wiche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'State comparison'!$F$7</c:f>
              <c:strCache>
                <c:ptCount val="1"/>
                <c:pt idx="0">
                  <c:v>National Wiche (Index)</c:v>
                </c:pt>
              </c:strCache>
            </c:strRef>
          </c:tx>
          <c:spPr>
            <a:ln w="28575" cap="rnd">
              <a:solidFill>
                <a:schemeClr val="accent1"/>
              </a:solidFill>
              <a:round/>
            </a:ln>
            <a:effectLst/>
          </c:spPr>
          <c:marker>
            <c:symbol val="none"/>
          </c:marker>
          <c:cat>
            <c:numRef>
              <c:f>'State comparison'!$B$8:$B$16</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comparison'!$F$8:$F$16</c:f>
              <c:numCache>
                <c:formatCode>_(* #,##0.00_);_(* \(#,##0.00\);_(* "-"??_);_(@_)</c:formatCode>
                <c:ptCount val="9"/>
                <c:pt idx="0" formatCode="General">
                  <c:v>100</c:v>
                </c:pt>
                <c:pt idx="1">
                  <c:v>100.62266133441979</c:v>
                </c:pt>
                <c:pt idx="2">
                  <c:v>100.69235222850037</c:v>
                </c:pt>
                <c:pt idx="3">
                  <c:v>101.66507628472483</c:v>
                </c:pt>
                <c:pt idx="4">
                  <c:v>103.67994724935402</c:v>
                </c:pt>
                <c:pt idx="5">
                  <c:v>105.37799268781696</c:v>
                </c:pt>
                <c:pt idx="6">
                  <c:v>105.36914730510674</c:v>
                </c:pt>
                <c:pt idx="7">
                  <c:v>103.29905970901372</c:v>
                </c:pt>
                <c:pt idx="8">
                  <c:v>101.35093117756169</c:v>
                </c:pt>
              </c:numCache>
            </c:numRef>
          </c:val>
          <c:smooth val="0"/>
          <c:extLst>
            <c:ext xmlns:c16="http://schemas.microsoft.com/office/drawing/2014/chart" uri="{C3380CC4-5D6E-409C-BE32-E72D297353CC}">
              <c16:uniqueId val="{00000000-382A-459C-A258-DF1C2F171890}"/>
            </c:ext>
          </c:extLst>
        </c:ser>
        <c:ser>
          <c:idx val="1"/>
          <c:order val="1"/>
          <c:tx>
            <c:strRef>
              <c:f>'State comparison'!$J$7</c:f>
              <c:strCache>
                <c:ptCount val="1"/>
                <c:pt idx="0">
                  <c:v>State Wiche (Index)</c:v>
                </c:pt>
              </c:strCache>
            </c:strRef>
          </c:tx>
          <c:spPr>
            <a:ln w="28575" cap="rnd">
              <a:solidFill>
                <a:schemeClr val="accent2"/>
              </a:solidFill>
              <a:round/>
            </a:ln>
            <a:effectLst/>
          </c:spPr>
          <c:marker>
            <c:symbol val="none"/>
          </c:marker>
          <c:cat>
            <c:numRef>
              <c:f>'State comparison'!$B$8:$B$16</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comparison'!$J$8:$J$16</c:f>
              <c:numCache>
                <c:formatCode>_(* #,##0.00_);_(* \(#,##0.00\);_(* "-"??_);_(@_)</c:formatCode>
                <c:ptCount val="9"/>
                <c:pt idx="0" formatCode="General">
                  <c:v>100</c:v>
                </c:pt>
                <c:pt idx="1">
                  <c:v>98.477640342530918</c:v>
                </c:pt>
                <c:pt idx="2">
                  <c:v>97.830637488106561</c:v>
                </c:pt>
                <c:pt idx="3">
                  <c:v>98.51569933396766</c:v>
                </c:pt>
                <c:pt idx="4">
                  <c:v>99.105613701236919</c:v>
                </c:pt>
                <c:pt idx="5">
                  <c:v>102.07421503330161</c:v>
                </c:pt>
                <c:pt idx="6">
                  <c:v>102.60704091341579</c:v>
                </c:pt>
                <c:pt idx="7">
                  <c:v>100.45670789724073</c:v>
                </c:pt>
                <c:pt idx="8">
                  <c:v>96.6698382492864</c:v>
                </c:pt>
              </c:numCache>
            </c:numRef>
          </c:val>
          <c:smooth val="0"/>
          <c:extLst>
            <c:ext xmlns:c16="http://schemas.microsoft.com/office/drawing/2014/chart" uri="{C3380CC4-5D6E-409C-BE32-E72D297353CC}">
              <c16:uniqueId val="{00000001-382A-459C-A258-DF1C2F171890}"/>
            </c:ext>
          </c:extLst>
        </c:ser>
        <c:ser>
          <c:idx val="2"/>
          <c:order val="2"/>
          <c:tx>
            <c:strRef>
              <c:f>'State comparison'!$K$7</c:f>
              <c:strCache>
                <c:ptCount val="1"/>
                <c:pt idx="0">
                  <c:v>Baseline</c:v>
                </c:pt>
              </c:strCache>
            </c:strRef>
          </c:tx>
          <c:spPr>
            <a:ln w="28575" cap="rnd">
              <a:solidFill>
                <a:schemeClr val="tx1"/>
              </a:solidFill>
              <a:round/>
            </a:ln>
            <a:effectLst/>
          </c:spPr>
          <c:marker>
            <c:symbol val="none"/>
          </c:marker>
          <c:cat>
            <c:numRef>
              <c:f>'State comparison'!$B$8:$B$16</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comparison'!$K$8:$K$16</c:f>
              <c:numCache>
                <c:formatCode>General</c:formatCode>
                <c:ptCount val="9"/>
                <c:pt idx="0">
                  <c:v>100</c:v>
                </c:pt>
                <c:pt idx="1">
                  <c:v>100</c:v>
                </c:pt>
                <c:pt idx="2">
                  <c:v>100</c:v>
                </c:pt>
                <c:pt idx="3">
                  <c:v>100</c:v>
                </c:pt>
                <c:pt idx="4">
                  <c:v>100</c:v>
                </c:pt>
                <c:pt idx="5">
                  <c:v>100</c:v>
                </c:pt>
                <c:pt idx="6">
                  <c:v>100</c:v>
                </c:pt>
                <c:pt idx="7">
                  <c:v>100</c:v>
                </c:pt>
                <c:pt idx="8">
                  <c:v>100</c:v>
                </c:pt>
              </c:numCache>
            </c:numRef>
          </c:val>
          <c:smooth val="0"/>
          <c:extLst>
            <c:ext xmlns:c16="http://schemas.microsoft.com/office/drawing/2014/chart" uri="{C3380CC4-5D6E-409C-BE32-E72D297353CC}">
              <c16:uniqueId val="{00000001-45ED-4711-B74D-3E3A439BFF34}"/>
            </c:ext>
          </c:extLst>
        </c:ser>
        <c:dLbls>
          <c:showLegendKey val="0"/>
          <c:showVal val="0"/>
          <c:showCatName val="0"/>
          <c:showSerName val="0"/>
          <c:showPercent val="0"/>
          <c:showBubbleSize val="0"/>
        </c:dLbls>
        <c:smooth val="0"/>
        <c:axId val="2092979376"/>
        <c:axId val="2092977296"/>
      </c:lineChart>
      <c:catAx>
        <c:axId val="209297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2977296"/>
        <c:crosses val="autoZero"/>
        <c:auto val="1"/>
        <c:lblAlgn val="ctr"/>
        <c:lblOffset val="100"/>
        <c:noMultiLvlLbl val="0"/>
      </c:catAx>
      <c:valAx>
        <c:axId val="2092977296"/>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2979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National vs. State Blend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'State comparison'!$M$7</c:f>
              <c:strCache>
                <c:ptCount val="1"/>
                <c:pt idx="0">
                  <c:v>National Blend</c:v>
                </c:pt>
              </c:strCache>
            </c:strRef>
          </c:tx>
          <c:spPr>
            <a:ln w="28575" cap="rnd">
              <a:solidFill>
                <a:schemeClr val="accent1"/>
              </a:solidFill>
              <a:round/>
            </a:ln>
            <a:effectLst/>
          </c:spPr>
          <c:marker>
            <c:symbol val="none"/>
          </c:marker>
          <c:cat>
            <c:numRef>
              <c:f>'State comparison'!$B$8:$B$16</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comparison'!$M$8:$M$16</c:f>
              <c:numCache>
                <c:formatCode>_(* #,##0.00_);_(* \(#,##0.00\);_(* "-"??_);_(@_)</c:formatCode>
                <c:ptCount val="9"/>
                <c:pt idx="0" formatCode="General">
                  <c:v>100</c:v>
                </c:pt>
                <c:pt idx="1">
                  <c:v>101.54656920849337</c:v>
                </c:pt>
                <c:pt idx="2">
                  <c:v>101.47632003796625</c:v>
                </c:pt>
                <c:pt idx="3">
                  <c:v>102.52998232553335</c:v>
                </c:pt>
                <c:pt idx="4">
                  <c:v>103.27485142483678</c:v>
                </c:pt>
                <c:pt idx="5">
                  <c:v>105.96495033888144</c:v>
                </c:pt>
                <c:pt idx="6">
                  <c:v>104.60860734117188</c:v>
                </c:pt>
                <c:pt idx="7">
                  <c:v>101.79789395995476</c:v>
                </c:pt>
                <c:pt idx="8">
                  <c:v>99.692211042648609</c:v>
                </c:pt>
              </c:numCache>
            </c:numRef>
          </c:val>
          <c:smooth val="0"/>
          <c:extLst>
            <c:ext xmlns:c16="http://schemas.microsoft.com/office/drawing/2014/chart" uri="{C3380CC4-5D6E-409C-BE32-E72D297353CC}">
              <c16:uniqueId val="{00000000-77BA-4014-BBD9-CBE83FF2AEDC}"/>
            </c:ext>
          </c:extLst>
        </c:ser>
        <c:ser>
          <c:idx val="1"/>
          <c:order val="1"/>
          <c:tx>
            <c:strRef>
              <c:f>'State comparison'!$N$7</c:f>
              <c:strCache>
                <c:ptCount val="1"/>
                <c:pt idx="0">
                  <c:v>State Blend</c:v>
                </c:pt>
              </c:strCache>
            </c:strRef>
          </c:tx>
          <c:spPr>
            <a:ln w="28575" cap="rnd">
              <a:solidFill>
                <a:schemeClr val="accent2"/>
              </a:solidFill>
              <a:round/>
            </a:ln>
            <a:effectLst/>
          </c:spPr>
          <c:marker>
            <c:symbol val="none"/>
          </c:marker>
          <c:cat>
            <c:numRef>
              <c:f>'State comparison'!$B$8:$B$16</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comparison'!$N$8:$N$16</c:f>
              <c:numCache>
                <c:formatCode>_(* #,##0.00_);_(* \(#,##0.00\);_(* "-"??_);_(@_)</c:formatCode>
                <c:ptCount val="9"/>
                <c:pt idx="0" formatCode="General">
                  <c:v>100</c:v>
                </c:pt>
                <c:pt idx="1">
                  <c:v>96.802770522047979</c:v>
                </c:pt>
                <c:pt idx="2">
                  <c:v>94.750181129374383</c:v>
                </c:pt>
                <c:pt idx="3">
                  <c:v>98.801292732283343</c:v>
                </c:pt>
                <c:pt idx="4">
                  <c:v>100.71524613826011</c:v>
                </c:pt>
                <c:pt idx="5">
                  <c:v>100.92593644271665</c:v>
                </c:pt>
                <c:pt idx="6">
                  <c:v>102.09790793647045</c:v>
                </c:pt>
                <c:pt idx="7">
                  <c:v>97.210544990174611</c:v>
                </c:pt>
                <c:pt idx="8">
                  <c:v>94.256127975155891</c:v>
                </c:pt>
              </c:numCache>
            </c:numRef>
          </c:val>
          <c:smooth val="0"/>
          <c:extLst>
            <c:ext xmlns:c16="http://schemas.microsoft.com/office/drawing/2014/chart" uri="{C3380CC4-5D6E-409C-BE32-E72D297353CC}">
              <c16:uniqueId val="{00000001-77BA-4014-BBD9-CBE83FF2AEDC}"/>
            </c:ext>
          </c:extLst>
        </c:ser>
        <c:ser>
          <c:idx val="2"/>
          <c:order val="2"/>
          <c:tx>
            <c:strRef>
              <c:f>'State comparison'!$K$7</c:f>
              <c:strCache>
                <c:ptCount val="1"/>
                <c:pt idx="0">
                  <c:v>Baseline</c:v>
                </c:pt>
              </c:strCache>
            </c:strRef>
          </c:tx>
          <c:spPr>
            <a:ln w="28575" cap="rnd">
              <a:solidFill>
                <a:schemeClr val="tx1"/>
              </a:solidFill>
              <a:round/>
            </a:ln>
            <a:effectLst/>
          </c:spPr>
          <c:marker>
            <c:symbol val="none"/>
          </c:marker>
          <c:cat>
            <c:numRef>
              <c:f>'State comparison'!$B$8:$B$16</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comparison'!$K$8:$K$16</c:f>
              <c:numCache>
                <c:formatCode>General</c:formatCode>
                <c:ptCount val="9"/>
                <c:pt idx="0">
                  <c:v>100</c:v>
                </c:pt>
                <c:pt idx="1">
                  <c:v>100</c:v>
                </c:pt>
                <c:pt idx="2">
                  <c:v>100</c:v>
                </c:pt>
                <c:pt idx="3">
                  <c:v>100</c:v>
                </c:pt>
                <c:pt idx="4">
                  <c:v>100</c:v>
                </c:pt>
                <c:pt idx="5">
                  <c:v>100</c:v>
                </c:pt>
                <c:pt idx="6">
                  <c:v>100</c:v>
                </c:pt>
                <c:pt idx="7">
                  <c:v>100</c:v>
                </c:pt>
                <c:pt idx="8">
                  <c:v>100</c:v>
                </c:pt>
              </c:numCache>
            </c:numRef>
          </c:val>
          <c:smooth val="0"/>
          <c:extLst>
            <c:ext xmlns:c16="http://schemas.microsoft.com/office/drawing/2014/chart" uri="{C3380CC4-5D6E-409C-BE32-E72D297353CC}">
              <c16:uniqueId val="{00000001-9AD5-46F0-BF7E-E47CF1921AD1}"/>
            </c:ext>
          </c:extLst>
        </c:ser>
        <c:dLbls>
          <c:showLegendKey val="0"/>
          <c:showVal val="0"/>
          <c:showCatName val="0"/>
          <c:showSerName val="0"/>
          <c:showPercent val="0"/>
          <c:showBubbleSize val="0"/>
        </c:dLbls>
        <c:smooth val="0"/>
        <c:axId val="832510528"/>
        <c:axId val="832525088"/>
      </c:lineChart>
      <c:catAx>
        <c:axId val="83251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525088"/>
        <c:crosses val="autoZero"/>
        <c:auto val="1"/>
        <c:lblAlgn val="ctr"/>
        <c:lblOffset val="100"/>
        <c:noMultiLvlLbl val="0"/>
      </c:catAx>
      <c:valAx>
        <c:axId val="832525088"/>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510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Regional vs.</a:t>
            </a:r>
            <a:r>
              <a:rPr lang="en-US" baseline="0"/>
              <a:t> State Grawe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'State comparison'!$D$38</c:f>
              <c:strCache>
                <c:ptCount val="1"/>
                <c:pt idx="0">
                  <c:v>Regional Grawe (Index)</c:v>
                </c:pt>
              </c:strCache>
            </c:strRef>
          </c:tx>
          <c:spPr>
            <a:ln w="28575" cap="rnd">
              <a:solidFill>
                <a:schemeClr val="accent1"/>
              </a:solidFill>
              <a:round/>
            </a:ln>
            <a:effectLst/>
          </c:spPr>
          <c:marker>
            <c:symbol val="none"/>
          </c:marker>
          <c:cat>
            <c:numRef>
              <c:f>'State comparison'!$B$39:$B$47</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comparison'!$D$39:$D$47</c:f>
              <c:numCache>
                <c:formatCode>_(* #,##0.00_);_(* \(#,##0.00\);_(* "-"??_);_(@_)</c:formatCode>
                <c:ptCount val="9"/>
                <c:pt idx="0" formatCode="General">
                  <c:v>100</c:v>
                </c:pt>
                <c:pt idx="1">
                  <c:v>99.992348800527338</c:v>
                </c:pt>
                <c:pt idx="2">
                  <c:v>98.02039927490172</c:v>
                </c:pt>
                <c:pt idx="3">
                  <c:v>101.34160839983993</c:v>
                </c:pt>
                <c:pt idx="4">
                  <c:v>103.99863455517104</c:v>
                </c:pt>
                <c:pt idx="5">
                  <c:v>105.50474374367305</c:v>
                </c:pt>
                <c:pt idx="6">
                  <c:v>104.14518445276266</c:v>
                </c:pt>
                <c:pt idx="7">
                  <c:v>99.705428820302757</c:v>
                </c:pt>
                <c:pt idx="8">
                  <c:v>95.692374696894788</c:v>
                </c:pt>
              </c:numCache>
            </c:numRef>
          </c:val>
          <c:smooth val="0"/>
          <c:extLst>
            <c:ext xmlns:c16="http://schemas.microsoft.com/office/drawing/2014/chart" uri="{C3380CC4-5D6E-409C-BE32-E72D297353CC}">
              <c16:uniqueId val="{00000000-C567-4F07-893D-F80CE9A71F2D}"/>
            </c:ext>
          </c:extLst>
        </c:ser>
        <c:ser>
          <c:idx val="1"/>
          <c:order val="1"/>
          <c:tx>
            <c:strRef>
              <c:f>'State comparison'!$H$38</c:f>
              <c:strCache>
                <c:ptCount val="1"/>
                <c:pt idx="0">
                  <c:v>State Grawe (Index)</c:v>
                </c:pt>
              </c:strCache>
            </c:strRef>
          </c:tx>
          <c:spPr>
            <a:ln w="28575" cap="rnd">
              <a:solidFill>
                <a:schemeClr val="accent2"/>
              </a:solidFill>
              <a:round/>
            </a:ln>
            <a:effectLst/>
          </c:spPr>
          <c:marker>
            <c:symbol val="none"/>
          </c:marker>
          <c:cat>
            <c:numRef>
              <c:f>'State comparison'!$B$39:$B$47</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comparison'!$H$39:$H$47</c:f>
              <c:numCache>
                <c:formatCode>_(* #,##0.00_);_(* \(#,##0.00\);_(* "-"??_);_(@_)</c:formatCode>
                <c:ptCount val="9"/>
                <c:pt idx="0" formatCode="General">
                  <c:v>100</c:v>
                </c:pt>
                <c:pt idx="1">
                  <c:v>95.127900701565025</c:v>
                </c:pt>
                <c:pt idx="2">
                  <c:v>91.669724770642205</c:v>
                </c:pt>
                <c:pt idx="3">
                  <c:v>99.086886130599027</c:v>
                </c:pt>
                <c:pt idx="4">
                  <c:v>102.32487857528332</c:v>
                </c:pt>
                <c:pt idx="5">
                  <c:v>99.777657852131668</c:v>
                </c:pt>
                <c:pt idx="6">
                  <c:v>101.5887749595251</c:v>
                </c:pt>
                <c:pt idx="7">
                  <c:v>93.964382083108475</c:v>
                </c:pt>
                <c:pt idx="8">
                  <c:v>91.842417701025369</c:v>
                </c:pt>
              </c:numCache>
            </c:numRef>
          </c:val>
          <c:smooth val="0"/>
          <c:extLst>
            <c:ext xmlns:c16="http://schemas.microsoft.com/office/drawing/2014/chart" uri="{C3380CC4-5D6E-409C-BE32-E72D297353CC}">
              <c16:uniqueId val="{00000001-C567-4F07-893D-F80CE9A71F2D}"/>
            </c:ext>
          </c:extLst>
        </c:ser>
        <c:ser>
          <c:idx val="2"/>
          <c:order val="2"/>
          <c:tx>
            <c:strRef>
              <c:f>'State comparison'!$K$38</c:f>
              <c:strCache>
                <c:ptCount val="1"/>
                <c:pt idx="0">
                  <c:v>Baseline</c:v>
                </c:pt>
              </c:strCache>
            </c:strRef>
          </c:tx>
          <c:spPr>
            <a:ln w="28575" cap="rnd">
              <a:solidFill>
                <a:schemeClr val="tx1"/>
              </a:solidFill>
              <a:round/>
            </a:ln>
            <a:effectLst/>
          </c:spPr>
          <c:marker>
            <c:symbol val="none"/>
          </c:marker>
          <c:cat>
            <c:numRef>
              <c:f>'State comparison'!$B$39:$B$47</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comparison'!$K$39:$K$47</c:f>
              <c:numCache>
                <c:formatCode>General</c:formatCode>
                <c:ptCount val="9"/>
                <c:pt idx="0">
                  <c:v>100</c:v>
                </c:pt>
                <c:pt idx="1">
                  <c:v>100</c:v>
                </c:pt>
                <c:pt idx="2">
                  <c:v>100</c:v>
                </c:pt>
                <c:pt idx="3">
                  <c:v>100</c:v>
                </c:pt>
                <c:pt idx="4">
                  <c:v>100</c:v>
                </c:pt>
                <c:pt idx="5">
                  <c:v>100</c:v>
                </c:pt>
                <c:pt idx="6">
                  <c:v>100</c:v>
                </c:pt>
                <c:pt idx="7">
                  <c:v>100</c:v>
                </c:pt>
                <c:pt idx="8">
                  <c:v>100</c:v>
                </c:pt>
              </c:numCache>
            </c:numRef>
          </c:val>
          <c:smooth val="0"/>
          <c:extLst>
            <c:ext xmlns:c16="http://schemas.microsoft.com/office/drawing/2014/chart" uri="{C3380CC4-5D6E-409C-BE32-E72D297353CC}">
              <c16:uniqueId val="{00000003-C567-4F07-893D-F80CE9A71F2D}"/>
            </c:ext>
          </c:extLst>
        </c:ser>
        <c:dLbls>
          <c:showLegendKey val="0"/>
          <c:showVal val="0"/>
          <c:showCatName val="0"/>
          <c:showSerName val="0"/>
          <c:showPercent val="0"/>
          <c:showBubbleSize val="0"/>
        </c:dLbls>
        <c:smooth val="0"/>
        <c:axId val="943056704"/>
        <c:axId val="943044640"/>
      </c:lineChart>
      <c:catAx>
        <c:axId val="94305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044640"/>
        <c:crosses val="autoZero"/>
        <c:auto val="1"/>
        <c:lblAlgn val="ctr"/>
        <c:lblOffset val="100"/>
        <c:noMultiLvlLbl val="0"/>
      </c:catAx>
      <c:valAx>
        <c:axId val="943044640"/>
        <c:scaling>
          <c:orientation val="minMax"/>
          <c:max val="115"/>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05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Regional vs.</a:t>
            </a:r>
            <a:r>
              <a:rPr lang="en-US" baseline="0"/>
              <a:t> State WICHE</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'State comparison'!$F$38</c:f>
              <c:strCache>
                <c:ptCount val="1"/>
                <c:pt idx="0">
                  <c:v>Regional Wiche (Index)</c:v>
                </c:pt>
              </c:strCache>
            </c:strRef>
          </c:tx>
          <c:spPr>
            <a:ln w="28575" cap="rnd">
              <a:solidFill>
                <a:schemeClr val="accent1"/>
              </a:solidFill>
              <a:round/>
            </a:ln>
            <a:effectLst/>
          </c:spPr>
          <c:marker>
            <c:symbol val="none"/>
          </c:marker>
          <c:cat>
            <c:numRef>
              <c:f>'State comparison'!$B$39:$B$47</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comparison'!$F$39:$F$47</c:f>
              <c:numCache>
                <c:formatCode>_(* #,##0.00_);_(* \(#,##0.00\);_(* "-"??_);_(@_)</c:formatCode>
                <c:ptCount val="9"/>
                <c:pt idx="0" formatCode="General">
                  <c:v>100</c:v>
                </c:pt>
                <c:pt idx="1">
                  <c:v>99.36481768813033</c:v>
                </c:pt>
                <c:pt idx="2">
                  <c:v>99.442397207137319</c:v>
                </c:pt>
                <c:pt idx="3">
                  <c:v>99.927269200930951</c:v>
                </c:pt>
                <c:pt idx="4">
                  <c:v>101.29460822342902</c:v>
                </c:pt>
                <c:pt idx="5">
                  <c:v>104.51415826221877</c:v>
                </c:pt>
                <c:pt idx="6">
                  <c:v>103.98079906904579</c:v>
                </c:pt>
                <c:pt idx="7">
                  <c:v>101.144297905353</c:v>
                </c:pt>
                <c:pt idx="8">
                  <c:v>97.890806826997661</c:v>
                </c:pt>
              </c:numCache>
            </c:numRef>
          </c:val>
          <c:smooth val="0"/>
          <c:extLst>
            <c:ext xmlns:c16="http://schemas.microsoft.com/office/drawing/2014/chart" uri="{C3380CC4-5D6E-409C-BE32-E72D297353CC}">
              <c16:uniqueId val="{00000000-9C1C-4B40-BD75-B611A7DAEC16}"/>
            </c:ext>
          </c:extLst>
        </c:ser>
        <c:ser>
          <c:idx val="1"/>
          <c:order val="1"/>
          <c:tx>
            <c:strRef>
              <c:f>'State comparison'!$J$38</c:f>
              <c:strCache>
                <c:ptCount val="1"/>
                <c:pt idx="0">
                  <c:v>State Wiche (Index)</c:v>
                </c:pt>
              </c:strCache>
            </c:strRef>
          </c:tx>
          <c:spPr>
            <a:ln w="28575" cap="rnd">
              <a:solidFill>
                <a:schemeClr val="accent2"/>
              </a:solidFill>
              <a:round/>
            </a:ln>
            <a:effectLst/>
          </c:spPr>
          <c:marker>
            <c:symbol val="none"/>
          </c:marker>
          <c:cat>
            <c:numRef>
              <c:f>'State comparison'!$B$39:$B$47</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comparison'!$J$39:$J$47</c:f>
              <c:numCache>
                <c:formatCode>_(* #,##0.00_);_(* \(#,##0.00\);_(* "-"??_);_(@_)</c:formatCode>
                <c:ptCount val="9"/>
                <c:pt idx="0" formatCode="General">
                  <c:v>100</c:v>
                </c:pt>
                <c:pt idx="1">
                  <c:v>98.477640342530918</c:v>
                </c:pt>
                <c:pt idx="2">
                  <c:v>97.830637488106561</c:v>
                </c:pt>
                <c:pt idx="3">
                  <c:v>98.51569933396766</c:v>
                </c:pt>
                <c:pt idx="4">
                  <c:v>99.105613701236919</c:v>
                </c:pt>
                <c:pt idx="5">
                  <c:v>102.07421503330161</c:v>
                </c:pt>
                <c:pt idx="6">
                  <c:v>102.60704091341579</c:v>
                </c:pt>
                <c:pt idx="7">
                  <c:v>100.45670789724073</c:v>
                </c:pt>
                <c:pt idx="8">
                  <c:v>96.6698382492864</c:v>
                </c:pt>
              </c:numCache>
            </c:numRef>
          </c:val>
          <c:smooth val="0"/>
          <c:extLst>
            <c:ext xmlns:c16="http://schemas.microsoft.com/office/drawing/2014/chart" uri="{C3380CC4-5D6E-409C-BE32-E72D297353CC}">
              <c16:uniqueId val="{00000001-9C1C-4B40-BD75-B611A7DAEC16}"/>
            </c:ext>
          </c:extLst>
        </c:ser>
        <c:ser>
          <c:idx val="2"/>
          <c:order val="2"/>
          <c:tx>
            <c:strRef>
              <c:f>'State comparison'!$K$38</c:f>
              <c:strCache>
                <c:ptCount val="1"/>
                <c:pt idx="0">
                  <c:v>Baseline</c:v>
                </c:pt>
              </c:strCache>
            </c:strRef>
          </c:tx>
          <c:spPr>
            <a:ln w="28575" cap="rnd">
              <a:solidFill>
                <a:schemeClr val="tx1"/>
              </a:solidFill>
              <a:round/>
            </a:ln>
            <a:effectLst/>
          </c:spPr>
          <c:marker>
            <c:symbol val="none"/>
          </c:marker>
          <c:cat>
            <c:numRef>
              <c:f>'State comparison'!$B$39:$B$47</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comparison'!$K$39:$K$47</c:f>
              <c:numCache>
                <c:formatCode>General</c:formatCode>
                <c:ptCount val="9"/>
                <c:pt idx="0">
                  <c:v>100</c:v>
                </c:pt>
                <c:pt idx="1">
                  <c:v>100</c:v>
                </c:pt>
                <c:pt idx="2">
                  <c:v>100</c:v>
                </c:pt>
                <c:pt idx="3">
                  <c:v>100</c:v>
                </c:pt>
                <c:pt idx="4">
                  <c:v>100</c:v>
                </c:pt>
                <c:pt idx="5">
                  <c:v>100</c:v>
                </c:pt>
                <c:pt idx="6">
                  <c:v>100</c:v>
                </c:pt>
                <c:pt idx="7">
                  <c:v>100</c:v>
                </c:pt>
                <c:pt idx="8">
                  <c:v>100</c:v>
                </c:pt>
              </c:numCache>
            </c:numRef>
          </c:val>
          <c:smooth val="0"/>
          <c:extLst>
            <c:ext xmlns:c16="http://schemas.microsoft.com/office/drawing/2014/chart" uri="{C3380CC4-5D6E-409C-BE32-E72D297353CC}">
              <c16:uniqueId val="{0000000A-9C1C-4B40-BD75-B611A7DAEC16}"/>
            </c:ext>
          </c:extLst>
        </c:ser>
        <c:dLbls>
          <c:showLegendKey val="0"/>
          <c:showVal val="0"/>
          <c:showCatName val="0"/>
          <c:showSerName val="0"/>
          <c:showPercent val="0"/>
          <c:showBubbleSize val="0"/>
        </c:dLbls>
        <c:smooth val="0"/>
        <c:axId val="832516768"/>
        <c:axId val="832518848"/>
      </c:lineChart>
      <c:catAx>
        <c:axId val="83251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518848"/>
        <c:crosses val="autoZero"/>
        <c:auto val="1"/>
        <c:lblAlgn val="ctr"/>
        <c:lblOffset val="100"/>
        <c:noMultiLvlLbl val="0"/>
      </c:catAx>
      <c:valAx>
        <c:axId val="832518848"/>
        <c:scaling>
          <c:orientation val="minMax"/>
          <c:max val="115"/>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51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Regional</a:t>
            </a:r>
            <a:r>
              <a:rPr lang="en-US" baseline="0"/>
              <a:t> vs. State Blend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'State comparison'!$M$38</c:f>
              <c:strCache>
                <c:ptCount val="1"/>
                <c:pt idx="0">
                  <c:v>Regional Blend</c:v>
                </c:pt>
              </c:strCache>
            </c:strRef>
          </c:tx>
          <c:spPr>
            <a:ln w="28575" cap="rnd">
              <a:solidFill>
                <a:schemeClr val="accent1"/>
              </a:solidFill>
              <a:round/>
            </a:ln>
            <a:effectLst/>
          </c:spPr>
          <c:marker>
            <c:symbol val="none"/>
          </c:marker>
          <c:cat>
            <c:numRef>
              <c:f>'State comparison'!$B$39:$B$47</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comparison'!$M$39:$M$47</c:f>
              <c:numCache>
                <c:formatCode>_(* #,##0.00_);_(* \(#,##0.00\);_(* "-"??_);_(@_)</c:formatCode>
                <c:ptCount val="9"/>
                <c:pt idx="0" formatCode="General">
                  <c:v>100</c:v>
                </c:pt>
                <c:pt idx="1">
                  <c:v>99.678583244328834</c:v>
                </c:pt>
                <c:pt idx="2">
                  <c:v>98.731398241019519</c:v>
                </c:pt>
                <c:pt idx="3">
                  <c:v>100.63443880038544</c:v>
                </c:pt>
                <c:pt idx="4">
                  <c:v>102.64662138930004</c:v>
                </c:pt>
                <c:pt idx="5">
                  <c:v>105.00945100294591</c:v>
                </c:pt>
                <c:pt idx="6">
                  <c:v>104.06299176090423</c:v>
                </c:pt>
                <c:pt idx="7">
                  <c:v>100.42486336282788</c:v>
                </c:pt>
                <c:pt idx="8">
                  <c:v>96.791590761946225</c:v>
                </c:pt>
              </c:numCache>
            </c:numRef>
          </c:val>
          <c:smooth val="0"/>
          <c:extLst>
            <c:ext xmlns:c16="http://schemas.microsoft.com/office/drawing/2014/chart" uri="{C3380CC4-5D6E-409C-BE32-E72D297353CC}">
              <c16:uniqueId val="{00000000-032A-47DF-870B-12556DB89288}"/>
            </c:ext>
          </c:extLst>
        </c:ser>
        <c:ser>
          <c:idx val="1"/>
          <c:order val="1"/>
          <c:tx>
            <c:strRef>
              <c:f>'State comparison'!$N$38</c:f>
              <c:strCache>
                <c:ptCount val="1"/>
                <c:pt idx="0">
                  <c:v>State Blend</c:v>
                </c:pt>
              </c:strCache>
            </c:strRef>
          </c:tx>
          <c:spPr>
            <a:ln w="28575" cap="rnd">
              <a:solidFill>
                <a:schemeClr val="accent2"/>
              </a:solidFill>
              <a:round/>
            </a:ln>
            <a:effectLst/>
          </c:spPr>
          <c:marker>
            <c:symbol val="none"/>
          </c:marker>
          <c:cat>
            <c:numRef>
              <c:f>'State comparison'!$B$39:$B$47</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comparison'!$N$39:$N$47</c:f>
              <c:numCache>
                <c:formatCode>_(* #,##0.00_);_(* \(#,##0.00\);_(* "-"??_);_(@_)</c:formatCode>
                <c:ptCount val="9"/>
                <c:pt idx="0" formatCode="General">
                  <c:v>100</c:v>
                </c:pt>
                <c:pt idx="1">
                  <c:v>96.802770522047979</c:v>
                </c:pt>
                <c:pt idx="2">
                  <c:v>94.750181129374383</c:v>
                </c:pt>
                <c:pt idx="3">
                  <c:v>98.801292732283343</c:v>
                </c:pt>
                <c:pt idx="4">
                  <c:v>100.71524613826011</c:v>
                </c:pt>
                <c:pt idx="5">
                  <c:v>100.92593644271665</c:v>
                </c:pt>
                <c:pt idx="6">
                  <c:v>102.09790793647045</c:v>
                </c:pt>
                <c:pt idx="7">
                  <c:v>97.210544990174611</c:v>
                </c:pt>
                <c:pt idx="8">
                  <c:v>94.256127975155891</c:v>
                </c:pt>
              </c:numCache>
            </c:numRef>
          </c:val>
          <c:smooth val="0"/>
          <c:extLst>
            <c:ext xmlns:c16="http://schemas.microsoft.com/office/drawing/2014/chart" uri="{C3380CC4-5D6E-409C-BE32-E72D297353CC}">
              <c16:uniqueId val="{00000001-032A-47DF-870B-12556DB89288}"/>
            </c:ext>
          </c:extLst>
        </c:ser>
        <c:ser>
          <c:idx val="2"/>
          <c:order val="2"/>
          <c:tx>
            <c:strRef>
              <c:f>'State comparison'!$K$38</c:f>
              <c:strCache>
                <c:ptCount val="1"/>
                <c:pt idx="0">
                  <c:v>Baseline</c:v>
                </c:pt>
              </c:strCache>
            </c:strRef>
          </c:tx>
          <c:spPr>
            <a:ln w="28575" cap="rnd">
              <a:solidFill>
                <a:schemeClr val="tx1"/>
              </a:solidFill>
              <a:round/>
            </a:ln>
            <a:effectLst/>
          </c:spPr>
          <c:marker>
            <c:symbol val="none"/>
          </c:marker>
          <c:cat>
            <c:numRef>
              <c:f>'State comparison'!$B$39:$B$47</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comparison'!$K$39:$K$47</c:f>
              <c:numCache>
                <c:formatCode>General</c:formatCode>
                <c:ptCount val="9"/>
                <c:pt idx="0">
                  <c:v>100</c:v>
                </c:pt>
                <c:pt idx="1">
                  <c:v>100</c:v>
                </c:pt>
                <c:pt idx="2">
                  <c:v>100</c:v>
                </c:pt>
                <c:pt idx="3">
                  <c:v>100</c:v>
                </c:pt>
                <c:pt idx="4">
                  <c:v>100</c:v>
                </c:pt>
                <c:pt idx="5">
                  <c:v>100</c:v>
                </c:pt>
                <c:pt idx="6">
                  <c:v>100</c:v>
                </c:pt>
                <c:pt idx="7">
                  <c:v>100</c:v>
                </c:pt>
                <c:pt idx="8">
                  <c:v>100</c:v>
                </c:pt>
              </c:numCache>
            </c:numRef>
          </c:val>
          <c:smooth val="0"/>
          <c:extLst>
            <c:ext xmlns:c16="http://schemas.microsoft.com/office/drawing/2014/chart" uri="{C3380CC4-5D6E-409C-BE32-E72D297353CC}">
              <c16:uniqueId val="{00000003-032A-47DF-870B-12556DB89288}"/>
            </c:ext>
          </c:extLst>
        </c:ser>
        <c:dLbls>
          <c:showLegendKey val="0"/>
          <c:showVal val="0"/>
          <c:showCatName val="0"/>
          <c:showSerName val="0"/>
          <c:showPercent val="0"/>
          <c:showBubbleSize val="0"/>
        </c:dLbls>
        <c:smooth val="0"/>
        <c:axId val="943012608"/>
        <c:axId val="943060864"/>
      </c:lineChart>
      <c:catAx>
        <c:axId val="94301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060864"/>
        <c:crosses val="autoZero"/>
        <c:auto val="1"/>
        <c:lblAlgn val="ctr"/>
        <c:lblOffset val="100"/>
        <c:noMultiLvlLbl val="0"/>
      </c:catAx>
      <c:valAx>
        <c:axId val="943060864"/>
        <c:scaling>
          <c:orientation val="minMax"/>
          <c:max val="115"/>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01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State</a:t>
            </a:r>
            <a:r>
              <a:rPr lang="en-US" baseline="0"/>
              <a:t> vs. Contiguous States Weighted Average (INDEX)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'Contiguous State Helper Tables'!$R$43</c:f>
              <c:strCache>
                <c:ptCount val="1"/>
                <c:pt idx="0">
                  <c:v>AL</c:v>
                </c:pt>
              </c:strCache>
            </c:strRef>
          </c:tx>
          <c:spPr>
            <a:ln w="28575" cap="rnd">
              <a:solidFill>
                <a:schemeClr val="accent1"/>
              </a:solidFill>
              <a:round/>
            </a:ln>
            <a:effectLst/>
          </c:spPr>
          <c:marker>
            <c:symbol val="none"/>
          </c:marker>
          <c:cat>
            <c:numRef>
              <c:f>'Contiguous State Helper Tables'!$Q$44:$Q$52</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'Contiguous State Helper Tables'!$R$44:$R$52</c:f>
              <c:numCache>
                <c:formatCode>General</c:formatCode>
                <c:ptCount val="9"/>
                <c:pt idx="0">
                  <c:v>100</c:v>
                </c:pt>
                <c:pt idx="1">
                  <c:v>96.908217446270541</c:v>
                </c:pt>
                <c:pt idx="2">
                  <c:v>94.944121365360303</c:v>
                </c:pt>
                <c:pt idx="3">
                  <c:v>98.783312262958276</c:v>
                </c:pt>
                <c:pt idx="4">
                  <c:v>100.61390644753476</c:v>
                </c:pt>
                <c:pt idx="5">
                  <c:v>100.99823008849557</c:v>
                </c:pt>
                <c:pt idx="6">
                  <c:v>102.1299620733249</c:v>
                </c:pt>
                <c:pt idx="7">
                  <c:v>97.414917825537302</c:v>
                </c:pt>
                <c:pt idx="8">
                  <c:v>94.408091024020223</c:v>
                </c:pt>
              </c:numCache>
            </c:numRef>
          </c:val>
          <c:smooth val="0"/>
          <c:extLst>
            <c:ext xmlns:c16="http://schemas.microsoft.com/office/drawing/2014/chart" uri="{C3380CC4-5D6E-409C-BE32-E72D297353CC}">
              <c16:uniqueId val="{00000000-8839-424B-BA86-792D7D411DB8}"/>
            </c:ext>
          </c:extLst>
        </c:ser>
        <c:ser>
          <c:idx val="1"/>
          <c:order val="1"/>
          <c:tx>
            <c:strRef>
              <c:f>'Contiguous State Helper Tables'!$S$43</c:f>
              <c:strCache>
                <c:ptCount val="1"/>
                <c:pt idx="0">
                  <c:v>Weighted Average of Contiguous</c:v>
                </c:pt>
              </c:strCache>
            </c:strRef>
          </c:tx>
          <c:spPr>
            <a:ln w="28575" cap="rnd">
              <a:solidFill>
                <a:schemeClr val="accent2"/>
              </a:solidFill>
              <a:round/>
            </a:ln>
            <a:effectLst/>
          </c:spPr>
          <c:marker>
            <c:symbol val="none"/>
          </c:marker>
          <c:cat>
            <c:numRef>
              <c:f>'Contiguous State Helper Tables'!$Q$44:$Q$52</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'Contiguous State Helper Tables'!$S$44:$S$52</c:f>
              <c:numCache>
                <c:formatCode>_(* #,##0.00_);_(* \(#,##0.00\);_(* "-"??_);_(@_)</c:formatCode>
                <c:ptCount val="9"/>
                <c:pt idx="0" formatCode="General">
                  <c:v>100</c:v>
                </c:pt>
                <c:pt idx="1">
                  <c:v>101.6464155184961</c:v>
                </c:pt>
                <c:pt idx="2" formatCode="General">
                  <c:v>101.33497936242244</c:v>
                </c:pt>
                <c:pt idx="3" formatCode="General">
                  <c:v>102.41913893718618</c:v>
                </c:pt>
                <c:pt idx="4" formatCode="General">
                  <c:v>104.702215060131</c:v>
                </c:pt>
                <c:pt idx="5" formatCode="General">
                  <c:v>107.20777563381034</c:v>
                </c:pt>
                <c:pt idx="6" formatCode="General">
                  <c:v>106.67191664372942</c:v>
                </c:pt>
                <c:pt idx="7" formatCode="General">
                  <c:v>103.89623994876189</c:v>
                </c:pt>
                <c:pt idx="8" formatCode="General">
                  <c:v>100.63001033912596</c:v>
                </c:pt>
              </c:numCache>
            </c:numRef>
          </c:val>
          <c:smooth val="0"/>
          <c:extLst>
            <c:ext xmlns:c16="http://schemas.microsoft.com/office/drawing/2014/chart" uri="{C3380CC4-5D6E-409C-BE32-E72D297353CC}">
              <c16:uniqueId val="{00000001-8839-424B-BA86-792D7D411DB8}"/>
            </c:ext>
          </c:extLst>
        </c:ser>
        <c:ser>
          <c:idx val="2"/>
          <c:order val="2"/>
          <c:tx>
            <c:strRef>
              <c:f>'State comparison'!$K$7</c:f>
              <c:strCache>
                <c:ptCount val="1"/>
                <c:pt idx="0">
                  <c:v>Baseline</c:v>
                </c:pt>
              </c:strCache>
            </c:strRef>
          </c:tx>
          <c:spPr>
            <a:ln w="28575" cap="rnd">
              <a:solidFill>
                <a:schemeClr val="tx1"/>
              </a:solidFill>
              <a:round/>
            </a:ln>
            <a:effectLst/>
          </c:spPr>
          <c:marker>
            <c:symbol val="none"/>
          </c:marker>
          <c:val>
            <c:numRef>
              <c:f>'State comparison'!$K$8:$K$16</c:f>
              <c:numCache>
                <c:formatCode>General</c:formatCode>
                <c:ptCount val="9"/>
                <c:pt idx="0">
                  <c:v>100</c:v>
                </c:pt>
                <c:pt idx="1">
                  <c:v>100</c:v>
                </c:pt>
                <c:pt idx="2">
                  <c:v>100</c:v>
                </c:pt>
                <c:pt idx="3">
                  <c:v>100</c:v>
                </c:pt>
                <c:pt idx="4">
                  <c:v>100</c:v>
                </c:pt>
                <c:pt idx="5">
                  <c:v>100</c:v>
                </c:pt>
                <c:pt idx="6">
                  <c:v>100</c:v>
                </c:pt>
                <c:pt idx="7">
                  <c:v>100</c:v>
                </c:pt>
                <c:pt idx="8">
                  <c:v>100</c:v>
                </c:pt>
              </c:numCache>
            </c:numRef>
          </c:val>
          <c:smooth val="0"/>
          <c:extLst>
            <c:ext xmlns:c16="http://schemas.microsoft.com/office/drawing/2014/chart" uri="{C3380CC4-5D6E-409C-BE32-E72D297353CC}">
              <c16:uniqueId val="{00000003-8839-424B-BA86-792D7D411DB8}"/>
            </c:ext>
          </c:extLst>
        </c:ser>
        <c:ser>
          <c:idx val="3"/>
          <c:order val="3"/>
          <c:tx>
            <c:strRef>
              <c:f>'Contiguous State Helper Tables'!$T$43</c:f>
              <c:strCache>
                <c:ptCount val="1"/>
                <c:pt idx="0">
                  <c:v>National</c:v>
                </c:pt>
              </c:strCache>
            </c:strRef>
          </c:tx>
          <c:spPr>
            <a:ln w="28575" cap="rnd">
              <a:solidFill>
                <a:schemeClr val="accent4"/>
              </a:solidFill>
              <a:round/>
            </a:ln>
            <a:effectLst/>
          </c:spPr>
          <c:marker>
            <c:symbol val="none"/>
          </c:marker>
          <c:val>
            <c:numRef>
              <c:f>'Contiguous State Helper Tables'!$T$44:$T$52</c:f>
              <c:numCache>
                <c:formatCode>General</c:formatCode>
                <c:ptCount val="9"/>
                <c:pt idx="0">
                  <c:v>100</c:v>
                </c:pt>
                <c:pt idx="1">
                  <c:v>101.54656920849337</c:v>
                </c:pt>
                <c:pt idx="2">
                  <c:v>101.47632003796625</c:v>
                </c:pt>
                <c:pt idx="3">
                  <c:v>102.52998232553335</c:v>
                </c:pt>
                <c:pt idx="4">
                  <c:v>103.27485142483678</c:v>
                </c:pt>
                <c:pt idx="5">
                  <c:v>105.96495033888144</c:v>
                </c:pt>
                <c:pt idx="6">
                  <c:v>104.60860734117188</c:v>
                </c:pt>
                <c:pt idx="7">
                  <c:v>101.79789395995476</c:v>
                </c:pt>
                <c:pt idx="8">
                  <c:v>99.692211042648609</c:v>
                </c:pt>
              </c:numCache>
            </c:numRef>
          </c:val>
          <c:smooth val="0"/>
          <c:extLst>
            <c:ext xmlns:c16="http://schemas.microsoft.com/office/drawing/2014/chart" uri="{C3380CC4-5D6E-409C-BE32-E72D297353CC}">
              <c16:uniqueId val="{00000001-7C33-4F8D-87E7-ABA38DDA2CBB}"/>
            </c:ext>
          </c:extLst>
        </c:ser>
        <c:dLbls>
          <c:showLegendKey val="0"/>
          <c:showVal val="0"/>
          <c:showCatName val="0"/>
          <c:showSerName val="0"/>
          <c:showPercent val="0"/>
          <c:showBubbleSize val="0"/>
        </c:dLbls>
        <c:smooth val="0"/>
        <c:axId val="926967920"/>
        <c:axId val="926983312"/>
      </c:lineChart>
      <c:catAx>
        <c:axId val="92696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983312"/>
        <c:crosses val="autoZero"/>
        <c:auto val="1"/>
        <c:lblAlgn val="ctr"/>
        <c:lblOffset val="100"/>
        <c:noMultiLvlLbl val="0"/>
      </c:catAx>
      <c:valAx>
        <c:axId val="926983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967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State</a:t>
            </a:r>
            <a:r>
              <a:rPr lang="en-US" baseline="0"/>
              <a:t> vs. Contiguous States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'State comparison'!$C$70</c:f>
              <c:strCache>
                <c:ptCount val="1"/>
                <c:pt idx="0">
                  <c:v>AL</c:v>
                </c:pt>
              </c:strCache>
            </c:strRef>
          </c:tx>
          <c:spPr>
            <a:ln w="44450" cap="rnd">
              <a:solidFill>
                <a:schemeClr val="accent1"/>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comparison'!$C$71:$C$79</c:f>
              <c:numCache>
                <c:formatCode>0.00</c:formatCode>
                <c:ptCount val="9"/>
                <c:pt idx="0">
                  <c:v>100</c:v>
                </c:pt>
                <c:pt idx="1">
                  <c:v>96.908217446270541</c:v>
                </c:pt>
                <c:pt idx="2">
                  <c:v>94.944121365360303</c:v>
                </c:pt>
                <c:pt idx="3">
                  <c:v>98.783312262958276</c:v>
                </c:pt>
                <c:pt idx="4">
                  <c:v>100.61390644753476</c:v>
                </c:pt>
                <c:pt idx="5">
                  <c:v>100.99823008849557</c:v>
                </c:pt>
                <c:pt idx="6">
                  <c:v>102.1299620733249</c:v>
                </c:pt>
                <c:pt idx="7">
                  <c:v>97.414917825537302</c:v>
                </c:pt>
                <c:pt idx="8">
                  <c:v>94.408091024020223</c:v>
                </c:pt>
              </c:numCache>
            </c:numRef>
          </c:val>
          <c:smooth val="0"/>
          <c:extLst>
            <c:ext xmlns:c16="http://schemas.microsoft.com/office/drawing/2014/chart" uri="{C3380CC4-5D6E-409C-BE32-E72D297353CC}">
              <c16:uniqueId val="{00000000-864D-4CD7-B2A2-751EFCAEC3E8}"/>
            </c:ext>
          </c:extLst>
        </c:ser>
        <c:ser>
          <c:idx val="1"/>
          <c:order val="1"/>
          <c:tx>
            <c:strRef>
              <c:f>'State comparison'!$D$70</c:f>
              <c:strCache>
                <c:ptCount val="1"/>
                <c:pt idx="0">
                  <c:v>FL</c:v>
                </c:pt>
              </c:strCache>
            </c:strRef>
          </c:tx>
          <c:spPr>
            <a:ln w="28575" cap="rnd">
              <a:solidFill>
                <a:schemeClr val="accent2"/>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comparison'!$D$71:$D$79</c:f>
              <c:numCache>
                <c:formatCode>0.00</c:formatCode>
                <c:ptCount val="9"/>
                <c:pt idx="0">
                  <c:v>100</c:v>
                </c:pt>
                <c:pt idx="1">
                  <c:v>101.93395021272342</c:v>
                </c:pt>
                <c:pt idx="2">
                  <c:v>103.44606378369971</c:v>
                </c:pt>
                <c:pt idx="3">
                  <c:v>105.29503571309556</c:v>
                </c:pt>
                <c:pt idx="4">
                  <c:v>107.47364562389612</c:v>
                </c:pt>
                <c:pt idx="5">
                  <c:v>109.80888217455541</c:v>
                </c:pt>
                <c:pt idx="6">
                  <c:v>110.5050931428635</c:v>
                </c:pt>
                <c:pt idx="7">
                  <c:v>108.33620297035202</c:v>
                </c:pt>
                <c:pt idx="8">
                  <c:v>105.68576919231751</c:v>
                </c:pt>
              </c:numCache>
            </c:numRef>
          </c:val>
          <c:smooth val="0"/>
          <c:extLst>
            <c:ext xmlns:c16="http://schemas.microsoft.com/office/drawing/2014/chart" uri="{C3380CC4-5D6E-409C-BE32-E72D297353CC}">
              <c16:uniqueId val="{00000001-864D-4CD7-B2A2-751EFCAEC3E8}"/>
            </c:ext>
          </c:extLst>
        </c:ser>
        <c:ser>
          <c:idx val="2"/>
          <c:order val="2"/>
          <c:tx>
            <c:strRef>
              <c:f>'State comparison'!$E$70</c:f>
              <c:strCache>
                <c:ptCount val="1"/>
                <c:pt idx="0">
                  <c:v>GA</c:v>
                </c:pt>
              </c:strCache>
            </c:strRef>
          </c:tx>
          <c:spPr>
            <a:ln w="28575" cap="rnd">
              <a:solidFill>
                <a:schemeClr val="accent3"/>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comparison'!$E$71:$E$79</c:f>
              <c:numCache>
                <c:formatCode>0.00</c:formatCode>
                <c:ptCount val="9"/>
                <c:pt idx="0">
                  <c:v>100</c:v>
                </c:pt>
                <c:pt idx="1">
                  <c:v>101.02363500892378</c:v>
                </c:pt>
                <c:pt idx="2">
                  <c:v>97.004903744520107</c:v>
                </c:pt>
                <c:pt idx="3">
                  <c:v>97.296875812236834</c:v>
                </c:pt>
                <c:pt idx="4">
                  <c:v>100.21009859472198</c:v>
                </c:pt>
                <c:pt idx="5">
                  <c:v>102.00005198315745</c:v>
                </c:pt>
                <c:pt idx="6">
                  <c:v>100.02945712255895</c:v>
                </c:pt>
                <c:pt idx="7">
                  <c:v>97.846164509365636</c:v>
                </c:pt>
                <c:pt idx="8">
                  <c:v>93.466150300635931</c:v>
                </c:pt>
              </c:numCache>
            </c:numRef>
          </c:val>
          <c:smooth val="0"/>
          <c:extLst>
            <c:ext xmlns:c16="http://schemas.microsoft.com/office/drawing/2014/chart" uri="{C3380CC4-5D6E-409C-BE32-E72D297353CC}">
              <c16:uniqueId val="{00000002-864D-4CD7-B2A2-751EFCAEC3E8}"/>
            </c:ext>
          </c:extLst>
        </c:ser>
        <c:ser>
          <c:idx val="3"/>
          <c:order val="3"/>
          <c:tx>
            <c:strRef>
              <c:f>'State comparison'!$F$70</c:f>
              <c:strCache>
                <c:ptCount val="1"/>
                <c:pt idx="0">
                  <c:v>TN</c:v>
                </c:pt>
              </c:strCache>
            </c:strRef>
          </c:tx>
          <c:spPr>
            <a:ln w="28575" cap="rnd">
              <a:solidFill>
                <a:schemeClr val="accent4"/>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comparison'!$F$71:$F$79</c:f>
              <c:numCache>
                <c:formatCode>0.00</c:formatCode>
                <c:ptCount val="9"/>
                <c:pt idx="0">
                  <c:v>100</c:v>
                </c:pt>
                <c:pt idx="1">
                  <c:v>102.4728290277198</c:v>
                </c:pt>
                <c:pt idx="2">
                  <c:v>102.23667733407542</c:v>
                </c:pt>
                <c:pt idx="3">
                  <c:v>103.92143221557441</c:v>
                </c:pt>
                <c:pt idx="4">
                  <c:v>104.48263067575716</c:v>
                </c:pt>
                <c:pt idx="5">
                  <c:v>107.28243897159994</c:v>
                </c:pt>
                <c:pt idx="6">
                  <c:v>107.55453519471887</c:v>
                </c:pt>
                <c:pt idx="7">
                  <c:v>103.03170848600097</c:v>
                </c:pt>
                <c:pt idx="8">
                  <c:v>99.482089575313452</c:v>
                </c:pt>
              </c:numCache>
            </c:numRef>
          </c:val>
          <c:smooth val="0"/>
          <c:extLst>
            <c:ext xmlns:c16="http://schemas.microsoft.com/office/drawing/2014/chart" uri="{C3380CC4-5D6E-409C-BE32-E72D297353CC}">
              <c16:uniqueId val="{00000003-864D-4CD7-B2A2-751EFCAEC3E8}"/>
            </c:ext>
          </c:extLst>
        </c:ser>
        <c:ser>
          <c:idx val="4"/>
          <c:order val="4"/>
          <c:tx>
            <c:strRef>
              <c:f>'State comparison'!$G$70</c:f>
              <c:strCache>
                <c:ptCount val="1"/>
                <c:pt idx="0">
                  <c:v>MS</c:v>
                </c:pt>
              </c:strCache>
            </c:strRef>
          </c:tx>
          <c:spPr>
            <a:ln w="28575" cap="rnd">
              <a:solidFill>
                <a:schemeClr val="accent5"/>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comparison'!$G$71:$G$79</c:f>
              <c:numCache>
                <c:formatCode>0.00</c:formatCode>
                <c:ptCount val="9"/>
                <c:pt idx="0">
                  <c:v>100</c:v>
                </c:pt>
                <c:pt idx="1">
                  <c:v>100.43530497466524</c:v>
                </c:pt>
                <c:pt idx="2">
                  <c:v>102.42290748898679</c:v>
                </c:pt>
                <c:pt idx="3">
                  <c:v>99.946892793090839</c:v>
                </c:pt>
                <c:pt idx="4">
                  <c:v>104.64035102993157</c:v>
                </c:pt>
                <c:pt idx="5">
                  <c:v>110.16872420818025</c:v>
                </c:pt>
                <c:pt idx="6">
                  <c:v>104.77268374222982</c:v>
                </c:pt>
                <c:pt idx="7">
                  <c:v>99.516811478121568</c:v>
                </c:pt>
                <c:pt idx="8">
                  <c:v>96.467064825616816</c:v>
                </c:pt>
              </c:numCache>
            </c:numRef>
          </c:val>
          <c:smooth val="0"/>
          <c:extLst>
            <c:ext xmlns:c16="http://schemas.microsoft.com/office/drawing/2014/chart" uri="{C3380CC4-5D6E-409C-BE32-E72D297353CC}">
              <c16:uniqueId val="{00000004-864D-4CD7-B2A2-751EFCAEC3E8}"/>
            </c:ext>
          </c:extLst>
        </c:ser>
        <c:ser>
          <c:idx val="5"/>
          <c:order val="5"/>
          <c:tx>
            <c:strRef>
              <c:f>'State comparison'!$H$70</c:f>
              <c:strCache>
                <c:ptCount val="1"/>
              </c:strCache>
            </c:strRef>
          </c:tx>
          <c:spPr>
            <a:ln w="28575" cap="rnd">
              <a:solidFill>
                <a:schemeClr val="accent6"/>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comparison'!$H$71:$H$79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5-864D-4CD7-B2A2-751EFCAEC3E8}"/>
            </c:ext>
          </c:extLst>
        </c:ser>
        <c:ser>
          <c:idx val="6"/>
          <c:order val="6"/>
          <c:tx>
            <c:strRef>
              <c:f>'State comparison'!$I$70</c:f>
              <c:strCache>
                <c:ptCount val="1"/>
              </c:strCache>
            </c:strRef>
          </c:tx>
          <c:spPr>
            <a:ln w="28575" cap="rnd">
              <a:solidFill>
                <a:schemeClr val="accent1">
                  <a:lumMod val="60000"/>
                </a:schemeClr>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comparison'!$I$71:$I$79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6-864D-4CD7-B2A2-751EFCAEC3E8}"/>
            </c:ext>
          </c:extLst>
        </c:ser>
        <c:ser>
          <c:idx val="7"/>
          <c:order val="7"/>
          <c:tx>
            <c:strRef>
              <c:f>'State comparison'!$J$70</c:f>
              <c:strCache>
                <c:ptCount val="1"/>
              </c:strCache>
            </c:strRef>
          </c:tx>
          <c:spPr>
            <a:ln w="28575" cap="rnd">
              <a:solidFill>
                <a:schemeClr val="accent2">
                  <a:lumMod val="60000"/>
                </a:schemeClr>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comparison'!$J$71:$J$79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7-864D-4CD7-B2A2-751EFCAEC3E8}"/>
            </c:ext>
          </c:extLst>
        </c:ser>
        <c:ser>
          <c:idx val="8"/>
          <c:order val="8"/>
          <c:tx>
            <c:strRef>
              <c:f>'State comparison'!$K$70</c:f>
              <c:strCache>
                <c:ptCount val="1"/>
              </c:strCache>
            </c:strRef>
          </c:tx>
          <c:spPr>
            <a:ln w="28575" cap="rnd">
              <a:solidFill>
                <a:schemeClr val="accent3">
                  <a:lumMod val="60000"/>
                </a:schemeClr>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comparison'!$K$71:$K$79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8-864D-4CD7-B2A2-751EFCAEC3E8}"/>
            </c:ext>
          </c:extLst>
        </c:ser>
        <c:ser>
          <c:idx val="9"/>
          <c:order val="9"/>
          <c:tx>
            <c:strRef>
              <c:f>'State comparison'!$L$70</c:f>
              <c:strCache>
                <c:ptCount val="1"/>
              </c:strCache>
            </c:strRef>
          </c:tx>
          <c:spPr>
            <a:ln w="28575" cap="rnd">
              <a:solidFill>
                <a:schemeClr val="accent4">
                  <a:lumMod val="60000"/>
                </a:schemeClr>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comparison'!$L$71:$L$79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A-864D-4CD7-B2A2-751EFCAEC3E8}"/>
            </c:ext>
          </c:extLst>
        </c:ser>
        <c:ser>
          <c:idx val="10"/>
          <c:order val="10"/>
          <c:tx>
            <c:strRef>
              <c:f>'State comparison'!$M$70</c:f>
              <c:strCache>
                <c:ptCount val="1"/>
              </c:strCache>
            </c:strRef>
          </c:tx>
          <c:spPr>
            <a:ln w="28575" cap="rnd">
              <a:solidFill>
                <a:schemeClr val="accent5">
                  <a:lumMod val="60000"/>
                </a:schemeClr>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comparison'!$M$71:$M$79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B-864D-4CD7-B2A2-751EFCAEC3E8}"/>
            </c:ext>
          </c:extLst>
        </c:ser>
        <c:ser>
          <c:idx val="11"/>
          <c:order val="11"/>
          <c:tx>
            <c:strRef>
              <c:f>'State comparison'!$N$70</c:f>
              <c:strCache>
                <c:ptCount val="1"/>
              </c:strCache>
            </c:strRef>
          </c:tx>
          <c:spPr>
            <a:ln w="28575" cap="rnd">
              <a:solidFill>
                <a:schemeClr val="accent6">
                  <a:lumMod val="60000"/>
                </a:schemeClr>
              </a:solidFill>
              <a:round/>
            </a:ln>
            <a:effectLst/>
          </c:spPr>
          <c:marker>
            <c:symbol val="none"/>
          </c:marker>
          <c:cat>
            <c:numRef>
              <c:f>'State comparison'!$B$71:$B$79</c:f>
              <c:numCache>
                <c:formatCode>General</c:formatCode>
                <c:ptCount val="9"/>
                <c:pt idx="0">
                  <c:v>2020</c:v>
                </c:pt>
                <c:pt idx="1">
                  <c:v>2021</c:v>
                </c:pt>
                <c:pt idx="2">
                  <c:v>2022</c:v>
                </c:pt>
                <c:pt idx="3">
                  <c:v>2023</c:v>
                </c:pt>
                <c:pt idx="4">
                  <c:v>2024</c:v>
                </c:pt>
                <c:pt idx="5">
                  <c:v>2025</c:v>
                </c:pt>
                <c:pt idx="6">
                  <c:v>2026</c:v>
                </c:pt>
                <c:pt idx="7">
                  <c:v>2027</c:v>
                </c:pt>
                <c:pt idx="8">
                  <c:v>2028</c:v>
                </c:pt>
              </c:numCache>
            </c:numRef>
          </c:cat>
          <c:val>
            <c:numRef>
              <c:f>'State comparison'!$N$71:$N$79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C-864D-4CD7-B2A2-751EFCAEC3E8}"/>
            </c:ext>
          </c:extLst>
        </c:ser>
        <c:ser>
          <c:idx val="12"/>
          <c:order val="12"/>
          <c:tx>
            <c:v>Baseline</c:v>
          </c:tx>
          <c:spPr>
            <a:ln w="28575" cap="rnd">
              <a:solidFill>
                <a:schemeClr val="tx1"/>
              </a:solidFill>
              <a:round/>
            </a:ln>
            <a:effectLst/>
          </c:spPr>
          <c:marker>
            <c:symbol val="none"/>
          </c:marker>
          <c:val>
            <c:numRef>
              <c:f>'State comparison'!$K$39:$K$47</c:f>
              <c:numCache>
                <c:formatCode>General</c:formatCode>
                <c:ptCount val="9"/>
                <c:pt idx="0">
                  <c:v>100</c:v>
                </c:pt>
                <c:pt idx="1">
                  <c:v>100</c:v>
                </c:pt>
                <c:pt idx="2">
                  <c:v>100</c:v>
                </c:pt>
                <c:pt idx="3">
                  <c:v>100</c:v>
                </c:pt>
                <c:pt idx="4">
                  <c:v>100</c:v>
                </c:pt>
                <c:pt idx="5">
                  <c:v>100</c:v>
                </c:pt>
                <c:pt idx="6">
                  <c:v>100</c:v>
                </c:pt>
                <c:pt idx="7">
                  <c:v>100</c:v>
                </c:pt>
                <c:pt idx="8">
                  <c:v>100</c:v>
                </c:pt>
              </c:numCache>
            </c:numRef>
          </c:val>
          <c:smooth val="0"/>
          <c:extLst>
            <c:ext xmlns:c16="http://schemas.microsoft.com/office/drawing/2014/chart" uri="{C3380CC4-5D6E-409C-BE32-E72D297353CC}">
              <c16:uniqueId val="{00000001-7283-461D-89B9-1CECA8AE5E01}"/>
            </c:ext>
          </c:extLst>
        </c:ser>
        <c:dLbls>
          <c:showLegendKey val="0"/>
          <c:showVal val="0"/>
          <c:showCatName val="0"/>
          <c:showSerName val="0"/>
          <c:showPercent val="0"/>
          <c:showBubbleSize val="0"/>
        </c:dLbls>
        <c:smooth val="0"/>
        <c:axId val="310289808"/>
        <c:axId val="310281488"/>
      </c:lineChart>
      <c:catAx>
        <c:axId val="31028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0281488"/>
        <c:crosses val="autoZero"/>
        <c:auto val="1"/>
        <c:lblAlgn val="ctr"/>
        <c:lblOffset val="100"/>
        <c:noMultiLvlLbl val="0"/>
      </c:catAx>
      <c:valAx>
        <c:axId val="310281488"/>
        <c:scaling>
          <c:orientation val="minMax"/>
          <c:max val="115"/>
          <c:min val="8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0289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State Racial Identity Trends 2020-2028</a:t>
            </a:r>
            <a:r>
              <a:rPr lang="en-US" baseline="0"/>
              <a:t> Blend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strRef>
              <c:f>'Racial Data Drilldown Dashboard'!$B$22</c:f>
              <c:strCache>
                <c:ptCount val="1"/>
                <c:pt idx="0">
                  <c:v>2020</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Data Drilldown Dashboard'!$C$21:$G$21</c:f>
              <c:strCache>
                <c:ptCount val="5"/>
                <c:pt idx="0">
                  <c:v>White</c:v>
                </c:pt>
                <c:pt idx="1">
                  <c:v>Black</c:v>
                </c:pt>
                <c:pt idx="2">
                  <c:v>Hispanic/LatinX</c:v>
                </c:pt>
                <c:pt idx="3">
                  <c:v>Asian-Pacific Islander</c:v>
                </c:pt>
                <c:pt idx="4">
                  <c:v>Other</c:v>
                </c:pt>
              </c:strCache>
            </c:strRef>
          </c:cat>
          <c:val>
            <c:numRef>
              <c:f>'Racial Data Drilldown Dashboard'!$C$22:$G$22</c:f>
              <c:numCache>
                <c:formatCode>0.0%</c:formatCode>
                <c:ptCount val="5"/>
                <c:pt idx="0">
                  <c:v>0.62742825563837257</c:v>
                </c:pt>
                <c:pt idx="1">
                  <c:v>0.26872514068128295</c:v>
                </c:pt>
                <c:pt idx="2">
                  <c:v>6.3327220963536213E-2</c:v>
                </c:pt>
                <c:pt idx="3">
                  <c:v>1.732910176667761E-2</c:v>
                </c:pt>
                <c:pt idx="4">
                  <c:v>2.3190280950130815E-2</c:v>
                </c:pt>
              </c:numCache>
            </c:numRef>
          </c:val>
          <c:extLst>
            <c:ext xmlns:c16="http://schemas.microsoft.com/office/drawing/2014/chart" uri="{C3380CC4-5D6E-409C-BE32-E72D297353CC}">
              <c16:uniqueId val="{00000007-4492-4C28-86A6-D26AD25A2389}"/>
            </c:ext>
          </c:extLst>
        </c:ser>
        <c:ser>
          <c:idx val="0"/>
          <c:order val="1"/>
          <c:tx>
            <c:strRef>
              <c:f>'Racial Data Drilldown Dashboard'!$B$30</c:f>
              <c:strCache>
                <c:ptCount val="1"/>
                <c:pt idx="0">
                  <c:v>2028</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Data Drilldown Dashboard'!$C$21:$G$21</c:f>
              <c:strCache>
                <c:ptCount val="5"/>
                <c:pt idx="0">
                  <c:v>White</c:v>
                </c:pt>
                <c:pt idx="1">
                  <c:v>Black</c:v>
                </c:pt>
                <c:pt idx="2">
                  <c:v>Hispanic/LatinX</c:v>
                </c:pt>
                <c:pt idx="3">
                  <c:v>Asian-Pacific Islander</c:v>
                </c:pt>
                <c:pt idx="4">
                  <c:v>Other</c:v>
                </c:pt>
              </c:strCache>
            </c:strRef>
          </c:cat>
          <c:val>
            <c:numRef>
              <c:f>'Racial Data Drilldown Dashboard'!$C$30:$G$30</c:f>
              <c:numCache>
                <c:formatCode>0.0%</c:formatCode>
                <c:ptCount val="5"/>
                <c:pt idx="0">
                  <c:v>0.55048424778367144</c:v>
                </c:pt>
                <c:pt idx="1">
                  <c:v>0.2731644068806936</c:v>
                </c:pt>
                <c:pt idx="2">
                  <c:v>0.12013779520225379</c:v>
                </c:pt>
                <c:pt idx="3">
                  <c:v>1.5766145702314587E-2</c:v>
                </c:pt>
                <c:pt idx="4">
                  <c:v>4.0447404431066675E-2</c:v>
                </c:pt>
              </c:numCache>
            </c:numRef>
          </c:val>
          <c:extLst>
            <c:ext xmlns:c16="http://schemas.microsoft.com/office/drawing/2014/chart" uri="{C3380CC4-5D6E-409C-BE32-E72D297353CC}">
              <c16:uniqueId val="{00000008-4492-4C28-86A6-D26AD25A2389}"/>
            </c:ext>
          </c:extLst>
        </c:ser>
        <c:dLbls>
          <c:dLblPos val="outEnd"/>
          <c:showLegendKey val="0"/>
          <c:showVal val="1"/>
          <c:showCatName val="0"/>
          <c:showSerName val="0"/>
          <c:showPercent val="0"/>
          <c:showBubbleSize val="0"/>
        </c:dLbls>
        <c:gapWidth val="219"/>
        <c:overlap val="-27"/>
        <c:axId val="1844130944"/>
        <c:axId val="1844138016"/>
      </c:barChart>
      <c:catAx>
        <c:axId val="184413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4138016"/>
        <c:crosses val="autoZero"/>
        <c:auto val="1"/>
        <c:lblAlgn val="ctr"/>
        <c:lblOffset val="100"/>
        <c:noMultiLvlLbl val="0"/>
      </c:catAx>
      <c:valAx>
        <c:axId val="18441380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4130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47625</xdr:rowOff>
    </xdr:from>
    <xdr:to>
      <xdr:col>10</xdr:col>
      <xdr:colOff>0</xdr:colOff>
      <xdr:row>8</xdr:row>
      <xdr:rowOff>104775</xdr:rowOff>
    </xdr:to>
    <xdr:sp macro="" textlink="">
      <xdr:nvSpPr>
        <xdr:cNvPr id="2" name="TextBox 1">
          <a:extLst>
            <a:ext uri="{FF2B5EF4-FFF2-40B4-BE49-F238E27FC236}">
              <a16:creationId xmlns:a16="http://schemas.microsoft.com/office/drawing/2014/main" id="{489CE6F7-F073-49C0-B205-CD3CFCF002EC}"/>
            </a:ext>
          </a:extLst>
        </xdr:cNvPr>
        <xdr:cNvSpPr txBox="1"/>
      </xdr:nvSpPr>
      <xdr:spPr>
        <a:xfrm>
          <a:off x="85725" y="47625"/>
          <a:ext cx="5819775" cy="150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Overview:</a:t>
          </a:r>
          <a:endParaRPr lang="en-US" sz="1100" b="1" baseline="0"/>
        </a:p>
        <a:p>
          <a:r>
            <a:rPr lang="en-US" sz="1100" b="0" baseline="0"/>
            <a:t>This workbook was designed to assist with state-by-state slices of the Demographic Cliff Model research. With it's output, users can gain an understanding of how different states are faring in terms of first-time-student (FTS) growth as compared to the nation, their region, and their neighbors, and in terms of racial identity. </a:t>
          </a:r>
        </a:p>
        <a:p>
          <a:endParaRPr lang="en-US" sz="1100" b="0" baseline="0"/>
        </a:p>
        <a:p>
          <a:r>
            <a:rPr lang="en-US" sz="1100" b="0" baseline="0"/>
            <a:t>It was built by the Research and Thought Leadership (RTL) team. All feedback or questions concerning its use should be directed to Nico Robben (nerobben@othot.com). </a:t>
          </a:r>
          <a:endParaRPr lang="en-US" sz="1100" b="0"/>
        </a:p>
      </xdr:txBody>
    </xdr:sp>
    <xdr:clientData/>
  </xdr:twoCellAnchor>
  <xdr:twoCellAnchor>
    <xdr:from>
      <xdr:col>0</xdr:col>
      <xdr:colOff>85725</xdr:colOff>
      <xdr:row>8</xdr:row>
      <xdr:rowOff>133350</xdr:rowOff>
    </xdr:from>
    <xdr:to>
      <xdr:col>10</xdr:col>
      <xdr:colOff>0</xdr:colOff>
      <xdr:row>30</xdr:row>
      <xdr:rowOff>85725</xdr:rowOff>
    </xdr:to>
    <xdr:sp macro="" textlink="">
      <xdr:nvSpPr>
        <xdr:cNvPr id="4" name="TextBox 3">
          <a:extLst>
            <a:ext uri="{FF2B5EF4-FFF2-40B4-BE49-F238E27FC236}">
              <a16:creationId xmlns:a16="http://schemas.microsoft.com/office/drawing/2014/main" id="{F5C5AD1F-5B96-4854-A430-F520650E5D8A}"/>
            </a:ext>
            <a:ext uri="{147F2762-F138-4A5C-976F-8EAC2B608ADB}">
              <a16:predDERef xmlns:a16="http://schemas.microsoft.com/office/drawing/2014/main" pred="{489CE6F7-F073-49C0-B205-CD3CFCF002EC}"/>
            </a:ext>
          </a:extLst>
        </xdr:cNvPr>
        <xdr:cNvSpPr txBox="1"/>
      </xdr:nvSpPr>
      <xdr:spPr>
        <a:xfrm>
          <a:off x="85725" y="1581150"/>
          <a:ext cx="5819775"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p>
        <a:p>
          <a:r>
            <a:rPr lang="en-US" sz="1100" b="0"/>
            <a:t>This</a:t>
          </a:r>
          <a:r>
            <a:rPr lang="en-US" sz="1100" b="0" baseline="0"/>
            <a:t> workbook is comprised of many sheets, some containing raw data and others processing that data for tabluation and visualization. Users need only be concerned with this tab ("Overview + Instructions") and the two tabs highlighted in BLUE. All other tabs are </a:t>
          </a:r>
          <a:r>
            <a:rPr lang="en-US" sz="1100" b="1" i="1" u="sng" baseline="0"/>
            <a:t>entirely protected</a:t>
          </a:r>
          <a:r>
            <a:rPr lang="en-US" sz="1100" b="0" i="0" u="none" baseline="0"/>
            <a:t>, which prevents editing.</a:t>
          </a:r>
        </a:p>
        <a:p>
          <a:endParaRPr lang="en-US" sz="1100" b="0" i="0" u="none" baseline="0"/>
        </a:p>
        <a:p>
          <a:r>
            <a:rPr lang="en-US" sz="1100" b="0" i="0" u="sng" baseline="0"/>
            <a:t>Step 1</a:t>
          </a:r>
          <a:r>
            <a:rPr lang="en-US" sz="1100" b="0" i="0" u="none" baseline="0"/>
            <a:t>: Select state of interest</a:t>
          </a:r>
        </a:p>
        <a:p>
          <a:r>
            <a:rPr lang="en-US" sz="1100" b="0" i="0" u="none" baseline="0"/>
            <a:t>Access the "State Comparison" tab and select the state your interested in studying. The workbook will automatically pull the state's associated region and updated each of the tables on both BLUE tabs. </a:t>
          </a:r>
        </a:p>
        <a:p>
          <a:endParaRPr lang="en-US" sz="1100" b="0" i="0" u="none" baseline="0"/>
        </a:p>
        <a:p>
          <a:r>
            <a:rPr lang="en-US" sz="1100" b="0" i="0" u="sng" baseline="0"/>
            <a:t>Step 2</a:t>
          </a:r>
          <a:r>
            <a:rPr lang="en-US" sz="1100" b="0" i="0" u="none" baseline="0"/>
            <a:t>: Adjust the blend (optional)</a:t>
          </a:r>
        </a:p>
        <a:p>
          <a:r>
            <a:rPr lang="en-US" sz="1100" b="0" i="0" u="none" baseline="0"/>
            <a:t>If necessary, adjustments can be made to the blend proportions in cell B3 of the "State Comparison" tab. The default state is an even blend between the Grawe and WICHE FTS datasets, which is how the data is used in Demographic Cliff school reports. </a:t>
          </a:r>
        </a:p>
        <a:p>
          <a:endParaRPr lang="en-US" sz="1100" b="0" i="0" u="none" baseline="0"/>
        </a:p>
        <a:p>
          <a:r>
            <a:rPr lang="en-US" sz="1100" b="0" i="0" u="sng" baseline="0"/>
            <a:t>Step 3</a:t>
          </a:r>
          <a:r>
            <a:rPr lang="en-US" sz="1100" b="0" i="0" u="none" baseline="0"/>
            <a:t>: Analyze the output</a:t>
          </a:r>
        </a:p>
        <a:p>
          <a:r>
            <a:rPr lang="en-US" sz="1100" b="0" i="0" u="none" baseline="0"/>
            <a:t>The "State Comparison" sheet contains tables and associated visualizations that compare the State chosen to the trends in the whole nation, the state's associated region, and the state's direct neighbors. The "Racial Data Drilldown Dashboard" shows racial identity trends in FTS students from 2020-2028 for the state and it's associated region. </a:t>
          </a:r>
          <a:r>
            <a:rPr lang="en-US" sz="1100" b="0" i="1" u="none" baseline="0"/>
            <a:t>None of these tables are editable by the user. Charts are selectable for copy and paste and other edits. </a:t>
          </a:r>
        </a:p>
        <a:p>
          <a:endParaRPr lang="en-US" sz="1100" b="0" u="sn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19</xdr:row>
      <xdr:rowOff>95249</xdr:rowOff>
    </xdr:from>
    <xdr:to>
      <xdr:col>5</xdr:col>
      <xdr:colOff>447675</xdr:colOff>
      <xdr:row>34</xdr:row>
      <xdr:rowOff>123824</xdr:rowOff>
    </xdr:to>
    <xdr:graphicFrame macro="">
      <xdr:nvGraphicFramePr>
        <xdr:cNvPr id="2" name="Chart 1">
          <a:extLst>
            <a:ext uri="{FF2B5EF4-FFF2-40B4-BE49-F238E27FC236}">
              <a16:creationId xmlns:a16="http://schemas.microsoft.com/office/drawing/2014/main" id="{352DC954-453F-43B3-8EA8-A98042DFA5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504824</xdr:colOff>
      <xdr:row>19</xdr:row>
      <xdr:rowOff>114299</xdr:rowOff>
    </xdr:from>
    <xdr:to>
      <xdr:col>9</xdr:col>
      <xdr:colOff>1123949</xdr:colOff>
      <xdr:row>34</xdr:row>
      <xdr:rowOff>142874</xdr:rowOff>
    </xdr:to>
    <xdr:graphicFrame macro="">
      <xdr:nvGraphicFramePr>
        <xdr:cNvPr id="3" name="Chart 2">
          <a:extLst>
            <a:ext uri="{FF2B5EF4-FFF2-40B4-BE49-F238E27FC236}">
              <a16:creationId xmlns:a16="http://schemas.microsoft.com/office/drawing/2014/main" id="{018C3178-94FA-4F19-9C8C-EF8E227CEF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1257299</xdr:colOff>
      <xdr:row>19</xdr:row>
      <xdr:rowOff>95248</xdr:rowOff>
    </xdr:from>
    <xdr:to>
      <xdr:col>17</xdr:col>
      <xdr:colOff>104775</xdr:colOff>
      <xdr:row>34</xdr:row>
      <xdr:rowOff>180974</xdr:rowOff>
    </xdr:to>
    <xdr:graphicFrame macro="">
      <xdr:nvGraphicFramePr>
        <xdr:cNvPr id="4" name="Chart 3">
          <a:extLst>
            <a:ext uri="{FF2B5EF4-FFF2-40B4-BE49-F238E27FC236}">
              <a16:creationId xmlns:a16="http://schemas.microsoft.com/office/drawing/2014/main" id="{426B76D1-9A0C-4A26-A290-4DF1496BBB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19049</xdr:colOff>
      <xdr:row>50</xdr:row>
      <xdr:rowOff>95248</xdr:rowOff>
    </xdr:from>
    <xdr:to>
      <xdr:col>5</xdr:col>
      <xdr:colOff>276224</xdr:colOff>
      <xdr:row>67</xdr:row>
      <xdr:rowOff>9524</xdr:rowOff>
    </xdr:to>
    <xdr:graphicFrame macro="">
      <xdr:nvGraphicFramePr>
        <xdr:cNvPr id="5" name="Chart 4">
          <a:extLst>
            <a:ext uri="{FF2B5EF4-FFF2-40B4-BE49-F238E27FC236}">
              <a16:creationId xmlns:a16="http://schemas.microsoft.com/office/drawing/2014/main" id="{ED4A0207-0A7D-4CE0-B008-7497DB5DA3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342899</xdr:colOff>
      <xdr:row>50</xdr:row>
      <xdr:rowOff>95248</xdr:rowOff>
    </xdr:from>
    <xdr:to>
      <xdr:col>9</xdr:col>
      <xdr:colOff>1238249</xdr:colOff>
      <xdr:row>67</xdr:row>
      <xdr:rowOff>28574</xdr:rowOff>
    </xdr:to>
    <xdr:graphicFrame macro="">
      <xdr:nvGraphicFramePr>
        <xdr:cNvPr id="6" name="Chart 5">
          <a:extLst>
            <a:ext uri="{FF2B5EF4-FFF2-40B4-BE49-F238E27FC236}">
              <a16:creationId xmlns:a16="http://schemas.microsoft.com/office/drawing/2014/main" id="{BE372E78-D042-4700-A888-C56C0BC640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9523</xdr:colOff>
      <xdr:row>50</xdr:row>
      <xdr:rowOff>85724</xdr:rowOff>
    </xdr:from>
    <xdr:to>
      <xdr:col>17</xdr:col>
      <xdr:colOff>123825</xdr:colOff>
      <xdr:row>67</xdr:row>
      <xdr:rowOff>28575</xdr:rowOff>
    </xdr:to>
    <xdr:graphicFrame macro="">
      <xdr:nvGraphicFramePr>
        <xdr:cNvPr id="7" name="Chart 6">
          <a:extLst>
            <a:ext uri="{FF2B5EF4-FFF2-40B4-BE49-F238E27FC236}">
              <a16:creationId xmlns:a16="http://schemas.microsoft.com/office/drawing/2014/main" id="{FEFD9C06-C9B5-4CF3-A7DC-60B1F39F60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800100</xdr:colOff>
      <xdr:row>82</xdr:row>
      <xdr:rowOff>123825</xdr:rowOff>
    </xdr:from>
    <xdr:to>
      <xdr:col>13</xdr:col>
      <xdr:colOff>9525</xdr:colOff>
      <xdr:row>100</xdr:row>
      <xdr:rowOff>9526</xdr:rowOff>
    </xdr:to>
    <xdr:graphicFrame macro="">
      <xdr:nvGraphicFramePr>
        <xdr:cNvPr id="9" name="Chart 8">
          <a:extLst>
            <a:ext uri="{FF2B5EF4-FFF2-40B4-BE49-F238E27FC236}">
              <a16:creationId xmlns:a16="http://schemas.microsoft.com/office/drawing/2014/main" id="{0775273E-77EF-4AC1-9AEE-67FC2EAFE3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95249</xdr:colOff>
      <xdr:row>82</xdr:row>
      <xdr:rowOff>123824</xdr:rowOff>
    </xdr:from>
    <xdr:to>
      <xdr:col>6</xdr:col>
      <xdr:colOff>733424</xdr:colOff>
      <xdr:row>99</xdr:row>
      <xdr:rowOff>47625</xdr:rowOff>
    </xdr:to>
    <xdr:graphicFrame macro="">
      <xdr:nvGraphicFramePr>
        <xdr:cNvPr id="8" name="Chart 7">
          <a:extLst>
            <a:ext uri="{FF2B5EF4-FFF2-40B4-BE49-F238E27FC236}">
              <a16:creationId xmlns:a16="http://schemas.microsoft.com/office/drawing/2014/main" id="{1D7E30E8-60E9-4D8F-9990-A12E13A923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123825</xdr:colOff>
      <xdr:row>69</xdr:row>
      <xdr:rowOff>57149</xdr:rowOff>
    </xdr:from>
    <xdr:to>
      <xdr:col>19</xdr:col>
      <xdr:colOff>495300</xdr:colOff>
      <xdr:row>78</xdr:row>
      <xdr:rowOff>66675</xdr:rowOff>
    </xdr:to>
    <xdr:sp macro="" textlink="">
      <xdr:nvSpPr>
        <xdr:cNvPr id="10" name="TextBox 9">
          <a:extLst>
            <a:ext uri="{FF2B5EF4-FFF2-40B4-BE49-F238E27FC236}">
              <a16:creationId xmlns:a16="http://schemas.microsoft.com/office/drawing/2014/main" id="{B590223F-D7CA-42E4-94BC-6E4AAB5472CF}"/>
            </a:ext>
          </a:extLst>
        </xdr:cNvPr>
        <xdr:cNvSpPr txBox="1"/>
      </xdr:nvSpPr>
      <xdr:spPr>
        <a:xfrm>
          <a:off x="16659225" y="13096874"/>
          <a:ext cx="3562350" cy="1638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an automatically updating table that feeds</a:t>
          </a:r>
          <a:r>
            <a:rPr lang="en-US" sz="1100" baseline="0"/>
            <a:t> from the "Contiguous State Helper Tables" sheet. It performs lookups based on the state chosen that fills in the contiguous states (found in the "States + Contiguous" lookup table) and then pulls the relevant data. The charts are also auto-updating.  </a:t>
          </a:r>
        </a:p>
        <a:p>
          <a:endParaRPr lang="en-US" sz="1100" baseline="0"/>
        </a:p>
        <a:p>
          <a:r>
            <a:rPr lang="en-US" sz="1100" baseline="0"/>
            <a:t>WARNING: In most cases not all columns will be filled. </a:t>
          </a:r>
          <a:r>
            <a:rPr lang="en-US" sz="1100" i="1" baseline="0"/>
            <a:t>This is okay and expected</a:t>
          </a:r>
          <a:r>
            <a:rPr lang="en-US" sz="1100" i="0" baseline="0"/>
            <a:t>. </a:t>
          </a:r>
          <a:endParaRPr lang="en-US" sz="1100"/>
        </a:p>
      </xdr:txBody>
    </xdr:sp>
    <xdr:clientData/>
  </xdr:twoCellAnchor>
  <xdr:twoCellAnchor>
    <xdr:from>
      <xdr:col>14</xdr:col>
      <xdr:colOff>66675</xdr:colOff>
      <xdr:row>37</xdr:row>
      <xdr:rowOff>47625</xdr:rowOff>
    </xdr:from>
    <xdr:to>
      <xdr:col>19</xdr:col>
      <xdr:colOff>438150</xdr:colOff>
      <xdr:row>46</xdr:row>
      <xdr:rowOff>57151</xdr:rowOff>
    </xdr:to>
    <xdr:sp macro="" textlink="">
      <xdr:nvSpPr>
        <xdr:cNvPr id="11" name="TextBox 10">
          <a:extLst>
            <a:ext uri="{FF2B5EF4-FFF2-40B4-BE49-F238E27FC236}">
              <a16:creationId xmlns:a16="http://schemas.microsoft.com/office/drawing/2014/main" id="{283D3F53-BBF8-469E-A1A1-6E88365A2997}"/>
            </a:ext>
          </a:extLst>
        </xdr:cNvPr>
        <xdr:cNvSpPr txBox="1"/>
      </xdr:nvSpPr>
      <xdr:spPr>
        <a:xfrm>
          <a:off x="16602075" y="7115175"/>
          <a:ext cx="3562350" cy="1638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table peforms the same calculations</a:t>
          </a:r>
          <a:r>
            <a:rPr lang="en-US" sz="1100" baseline="0"/>
            <a:t> as above, but replacing the National data with Regional data. The region is pulled from cell B2, which performs a lookup from the "States + Regions" lookup table. </a:t>
          </a:r>
        </a:p>
        <a:p>
          <a:endParaRPr lang="en-US" sz="1100" baseline="0"/>
        </a:p>
        <a:p>
          <a:r>
            <a:rPr lang="en-US" sz="1100" baseline="0"/>
            <a:t>Data and calculations are auto-updating based on the selected state. </a:t>
          </a:r>
          <a:endParaRPr lang="en-US" sz="1100"/>
        </a:p>
      </xdr:txBody>
    </xdr:sp>
    <xdr:clientData/>
  </xdr:twoCellAnchor>
  <xdr:twoCellAnchor>
    <xdr:from>
      <xdr:col>14</xdr:col>
      <xdr:colOff>57150</xdr:colOff>
      <xdr:row>6</xdr:row>
      <xdr:rowOff>57150</xdr:rowOff>
    </xdr:from>
    <xdr:to>
      <xdr:col>19</xdr:col>
      <xdr:colOff>428625</xdr:colOff>
      <xdr:row>15</xdr:row>
      <xdr:rowOff>66676</xdr:rowOff>
    </xdr:to>
    <xdr:sp macro="" textlink="">
      <xdr:nvSpPr>
        <xdr:cNvPr id="12" name="TextBox 11">
          <a:extLst>
            <a:ext uri="{FF2B5EF4-FFF2-40B4-BE49-F238E27FC236}">
              <a16:creationId xmlns:a16="http://schemas.microsoft.com/office/drawing/2014/main" id="{5EE13D16-3D0A-4D1C-AB69-2A314B6CDCBE}"/>
            </a:ext>
          </a:extLst>
        </xdr:cNvPr>
        <xdr:cNvSpPr txBox="1"/>
      </xdr:nvSpPr>
      <xdr:spPr>
        <a:xfrm>
          <a:off x="16592550" y="1333500"/>
          <a:ext cx="3562350" cy="1638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table peforms calcuations that compare National and State level data for the state chosen. </a:t>
          </a:r>
          <a:r>
            <a:rPr lang="en-US" sz="1100" baseline="0"/>
            <a:t>It leverages lookups and flexible formulas to make the process only require a dropdown state selection in cell B1. </a:t>
          </a:r>
        </a:p>
        <a:p>
          <a:endParaRPr lang="en-US" sz="1100" baseline="0"/>
        </a:p>
        <a:p>
          <a:r>
            <a:rPr lang="en-US" sz="1100" baseline="0"/>
            <a:t>Data and calculations are auto-updating based on the selected state.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438149</xdr:colOff>
      <xdr:row>6</xdr:row>
      <xdr:rowOff>133348</xdr:rowOff>
    </xdr:from>
    <xdr:to>
      <xdr:col>17</xdr:col>
      <xdr:colOff>590550</xdr:colOff>
      <xdr:row>25</xdr:row>
      <xdr:rowOff>161925</xdr:rowOff>
    </xdr:to>
    <xdr:graphicFrame macro="">
      <xdr:nvGraphicFramePr>
        <xdr:cNvPr id="2" name="Chart 1">
          <a:extLst>
            <a:ext uri="{FF2B5EF4-FFF2-40B4-BE49-F238E27FC236}">
              <a16:creationId xmlns:a16="http://schemas.microsoft.com/office/drawing/2014/main" id="{4FF4DCAF-57A9-4188-B935-0B367E0CD1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28574</xdr:colOff>
      <xdr:row>6</xdr:row>
      <xdr:rowOff>133348</xdr:rowOff>
    </xdr:from>
    <xdr:to>
      <xdr:col>27</xdr:col>
      <xdr:colOff>600075</xdr:colOff>
      <xdr:row>25</xdr:row>
      <xdr:rowOff>142875</xdr:rowOff>
    </xdr:to>
    <xdr:graphicFrame macro="">
      <xdr:nvGraphicFramePr>
        <xdr:cNvPr id="3" name="Chart 2">
          <a:extLst>
            <a:ext uri="{FF2B5EF4-FFF2-40B4-BE49-F238E27FC236}">
              <a16:creationId xmlns:a16="http://schemas.microsoft.com/office/drawing/2014/main" id="{FF53EBB5-7550-4E72-B1B5-B35B98FB1C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400049</xdr:colOff>
      <xdr:row>33</xdr:row>
      <xdr:rowOff>161924</xdr:rowOff>
    </xdr:from>
    <xdr:to>
      <xdr:col>17</xdr:col>
      <xdr:colOff>619124</xdr:colOff>
      <xdr:row>54</xdr:row>
      <xdr:rowOff>123825</xdr:rowOff>
    </xdr:to>
    <xdr:graphicFrame macro="">
      <xdr:nvGraphicFramePr>
        <xdr:cNvPr id="4" name="Chart 3">
          <a:extLst>
            <a:ext uri="{FF2B5EF4-FFF2-40B4-BE49-F238E27FC236}">
              <a16:creationId xmlns:a16="http://schemas.microsoft.com/office/drawing/2014/main" id="{46BB0216-0A2B-4F2F-85A9-60533B8FD6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19048</xdr:colOff>
      <xdr:row>33</xdr:row>
      <xdr:rowOff>180973</xdr:rowOff>
    </xdr:from>
    <xdr:to>
      <xdr:col>27</xdr:col>
      <xdr:colOff>590550</xdr:colOff>
      <xdr:row>54</xdr:row>
      <xdr:rowOff>133350</xdr:rowOff>
    </xdr:to>
    <xdr:graphicFrame macro="">
      <xdr:nvGraphicFramePr>
        <xdr:cNvPr id="5" name="Chart 4">
          <a:extLst>
            <a:ext uri="{FF2B5EF4-FFF2-40B4-BE49-F238E27FC236}">
              <a16:creationId xmlns:a16="http://schemas.microsoft.com/office/drawing/2014/main" id="{D1627558-EDDC-4381-8B83-B346336A79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314325</xdr:colOff>
      <xdr:row>34</xdr:row>
      <xdr:rowOff>85725</xdr:rowOff>
    </xdr:from>
    <xdr:to>
      <xdr:col>15</xdr:col>
      <xdr:colOff>447675</xdr:colOff>
      <xdr:row>35</xdr:row>
      <xdr:rowOff>95250</xdr:rowOff>
    </xdr:to>
    <xdr:sp macro="" textlink="">
      <xdr:nvSpPr>
        <xdr:cNvPr id="2" name="Arrow: Right 1">
          <a:extLst>
            <a:ext uri="{FF2B5EF4-FFF2-40B4-BE49-F238E27FC236}">
              <a16:creationId xmlns:a16="http://schemas.microsoft.com/office/drawing/2014/main" id="{D9108C84-B552-4061-A637-418FE5F5EFFB}"/>
            </a:ext>
          </a:extLst>
        </xdr:cNvPr>
        <xdr:cNvSpPr/>
      </xdr:nvSpPr>
      <xdr:spPr>
        <a:xfrm>
          <a:off x="9382125" y="6238875"/>
          <a:ext cx="78105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428625</xdr:colOff>
      <xdr:row>40</xdr:row>
      <xdr:rowOff>161925</xdr:rowOff>
    </xdr:from>
    <xdr:to>
      <xdr:col>22</xdr:col>
      <xdr:colOff>9525</xdr:colOff>
      <xdr:row>43</xdr:row>
      <xdr:rowOff>104775</xdr:rowOff>
    </xdr:to>
    <xdr:sp macro="" textlink="">
      <xdr:nvSpPr>
        <xdr:cNvPr id="4" name="Arrow: Down 3">
          <a:extLst>
            <a:ext uri="{FF2B5EF4-FFF2-40B4-BE49-F238E27FC236}">
              <a16:creationId xmlns:a16="http://schemas.microsoft.com/office/drawing/2014/main" id="{07F490B4-9DF0-4675-B31C-F9F73C674C9D}"/>
            </a:ext>
          </a:extLst>
        </xdr:cNvPr>
        <xdr:cNvSpPr/>
      </xdr:nvSpPr>
      <xdr:spPr>
        <a:xfrm rot="2445686">
          <a:off x="14030325" y="7400925"/>
          <a:ext cx="228600" cy="4857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142873</xdr:colOff>
      <xdr:row>54</xdr:row>
      <xdr:rowOff>152398</xdr:rowOff>
    </xdr:from>
    <xdr:to>
      <xdr:col>5</xdr:col>
      <xdr:colOff>1562099</xdr:colOff>
      <xdr:row>73</xdr:row>
      <xdr:rowOff>47624</xdr:rowOff>
    </xdr:to>
    <xdr:graphicFrame macro="">
      <xdr:nvGraphicFramePr>
        <xdr:cNvPr id="2" name="Chart 1">
          <a:extLst>
            <a:ext uri="{FF2B5EF4-FFF2-40B4-BE49-F238E27FC236}">
              <a16:creationId xmlns:a16="http://schemas.microsoft.com/office/drawing/2014/main" id="{37EA8A75-4D65-4003-8265-8EAB7BFDCC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A8868-DE27-4775-A6CE-4E0C54B000D9}">
  <sheetPr codeName="Sheet1">
    <tabColor rgb="FFFF0000"/>
  </sheetPr>
  <dimension ref="A1"/>
  <sheetViews>
    <sheetView tabSelected="1" workbookViewId="0">
      <selection activeCell="N25" sqref="N25"/>
    </sheetView>
  </sheetViews>
  <sheetFormatPr defaultColWidth="8.8554687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E8441-25C7-43CD-A472-FE6FAAFFA87C}">
  <sheetPr codeName="Sheet10">
    <tabColor theme="2" tint="-9.9978637043366805E-2"/>
  </sheetPr>
  <dimension ref="A1"/>
  <sheetViews>
    <sheetView workbookViewId="0">
      <selection activeCell="P40" sqref="P40"/>
    </sheetView>
  </sheetViews>
  <sheetFormatPr defaultColWidth="8.85546875"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8DBB5-6658-411F-8B9D-E146DBC1A980}">
  <sheetPr codeName="Sheet11"/>
  <dimension ref="A1:BK10"/>
  <sheetViews>
    <sheetView topLeftCell="AB1" workbookViewId="0">
      <selection activeCell="P40" sqref="P40"/>
    </sheetView>
  </sheetViews>
  <sheetFormatPr defaultColWidth="8.85546875" defaultRowHeight="15"/>
  <cols>
    <col min="54" max="54" width="14.7109375" bestFit="1" customWidth="1"/>
  </cols>
  <sheetData>
    <row r="1" spans="1:63" ht="15.75">
      <c r="A1" s="15" t="s">
        <v>113</v>
      </c>
      <c r="B1" s="16" t="s">
        <v>1</v>
      </c>
      <c r="C1" s="16" t="s">
        <v>107</v>
      </c>
      <c r="D1" s="16" t="s">
        <v>98</v>
      </c>
      <c r="E1" s="16" t="s">
        <v>93</v>
      </c>
      <c r="F1" s="16" t="s">
        <v>109</v>
      </c>
      <c r="G1" s="16" t="s">
        <v>100</v>
      </c>
      <c r="H1" s="16" t="s">
        <v>54</v>
      </c>
      <c r="I1" s="16" t="s">
        <v>79</v>
      </c>
      <c r="J1" s="16" t="s">
        <v>87</v>
      </c>
      <c r="K1" s="16" t="s">
        <v>81</v>
      </c>
      <c r="L1" s="16" t="s">
        <v>82</v>
      </c>
      <c r="M1" s="16" t="s">
        <v>110</v>
      </c>
      <c r="N1" s="16" t="s">
        <v>101</v>
      </c>
      <c r="O1" s="16" t="s">
        <v>65</v>
      </c>
      <c r="P1" s="16" t="s">
        <v>67</v>
      </c>
      <c r="Q1" s="16" t="s">
        <v>71</v>
      </c>
      <c r="R1" s="16" t="s">
        <v>73</v>
      </c>
      <c r="S1" s="16" t="s">
        <v>90</v>
      </c>
      <c r="T1" s="16" t="s">
        <v>95</v>
      </c>
      <c r="U1" s="16" t="s">
        <v>56</v>
      </c>
      <c r="V1" s="16" t="s">
        <v>83</v>
      </c>
      <c r="W1" s="16" t="s">
        <v>57</v>
      </c>
      <c r="X1" s="16" t="s">
        <v>68</v>
      </c>
      <c r="Y1" s="16" t="s">
        <v>74</v>
      </c>
      <c r="Z1" s="16" t="s">
        <v>91</v>
      </c>
      <c r="AA1" s="16" t="s">
        <v>75</v>
      </c>
      <c r="AB1" s="16" t="s">
        <v>102</v>
      </c>
      <c r="AC1" s="16" t="s">
        <v>76</v>
      </c>
      <c r="AD1" s="16" t="s">
        <v>103</v>
      </c>
      <c r="AE1" s="16" t="s">
        <v>58</v>
      </c>
      <c r="AF1" s="16" t="s">
        <v>61</v>
      </c>
      <c r="AG1" s="16" t="s">
        <v>104</v>
      </c>
      <c r="AH1" s="16" t="s">
        <v>63</v>
      </c>
      <c r="AI1" s="16" t="s">
        <v>84</v>
      </c>
      <c r="AJ1" s="16" t="s">
        <v>77</v>
      </c>
      <c r="AK1" s="16" t="s">
        <v>69</v>
      </c>
      <c r="AL1" s="16" t="s">
        <v>96</v>
      </c>
      <c r="AM1" s="16" t="s">
        <v>111</v>
      </c>
      <c r="AN1" s="16" t="s">
        <v>64</v>
      </c>
      <c r="AO1" s="16" t="s">
        <v>59</v>
      </c>
      <c r="AP1" s="16" t="s">
        <v>85</v>
      </c>
      <c r="AQ1" s="16" t="s">
        <v>78</v>
      </c>
      <c r="AR1" s="16" t="s">
        <v>92</v>
      </c>
      <c r="AS1" s="16" t="s">
        <v>97</v>
      </c>
      <c r="AT1" s="16" t="s">
        <v>105</v>
      </c>
      <c r="AU1" s="16" t="s">
        <v>60</v>
      </c>
      <c r="AV1" s="16" t="s">
        <v>86</v>
      </c>
      <c r="AW1" s="16" t="s">
        <v>112</v>
      </c>
      <c r="AX1" s="16" t="s">
        <v>88</v>
      </c>
      <c r="AY1" s="16" t="s">
        <v>70</v>
      </c>
      <c r="AZ1" s="16" t="s">
        <v>106</v>
      </c>
      <c r="BA1" s="11" t="s">
        <v>127</v>
      </c>
      <c r="BB1" s="11" t="s">
        <v>9</v>
      </c>
      <c r="BC1" s="11" t="s">
        <v>108</v>
      </c>
      <c r="BD1" s="11" t="s">
        <v>99</v>
      </c>
      <c r="BE1" s="11" t="s">
        <v>72</v>
      </c>
      <c r="BF1" s="11" t="s">
        <v>94</v>
      </c>
      <c r="BG1" s="11" t="s">
        <v>66</v>
      </c>
      <c r="BH1" s="11" t="s">
        <v>89</v>
      </c>
      <c r="BI1" s="11" t="s">
        <v>55</v>
      </c>
      <c r="BJ1" s="11" t="s">
        <v>62</v>
      </c>
      <c r="BK1" s="11" t="s">
        <v>80</v>
      </c>
    </row>
    <row r="2" spans="1:63">
      <c r="A2" s="3">
        <v>2020</v>
      </c>
      <c r="B2" s="12">
        <v>46325</v>
      </c>
      <c r="C2" s="12">
        <v>7392</v>
      </c>
      <c r="D2" s="12">
        <v>67376</v>
      </c>
      <c r="E2" s="12">
        <v>29349</v>
      </c>
      <c r="F2" s="12">
        <v>373042</v>
      </c>
      <c r="G2" s="12">
        <v>51023</v>
      </c>
      <c r="H2" s="12">
        <v>43758</v>
      </c>
      <c r="I2" s="12">
        <v>8578</v>
      </c>
      <c r="J2" s="12">
        <v>4267</v>
      </c>
      <c r="K2" s="12">
        <v>179562</v>
      </c>
      <c r="L2" s="12">
        <v>108534</v>
      </c>
      <c r="M2" s="12">
        <v>11491</v>
      </c>
      <c r="N2" s="12">
        <v>17526</v>
      </c>
      <c r="O2" s="12">
        <v>115031</v>
      </c>
      <c r="P2" s="12">
        <v>68296</v>
      </c>
      <c r="Q2" s="12">
        <v>30825</v>
      </c>
      <c r="R2" s="12">
        <v>28601</v>
      </c>
      <c r="S2" s="12">
        <v>40226</v>
      </c>
      <c r="T2" s="12">
        <v>37963</v>
      </c>
      <c r="U2" s="12">
        <v>10652</v>
      </c>
      <c r="V2" s="12">
        <v>56818</v>
      </c>
      <c r="W2" s="12">
        <v>79601</v>
      </c>
      <c r="X2" s="12">
        <v>92870</v>
      </c>
      <c r="Y2" s="12">
        <v>59247</v>
      </c>
      <c r="Z2" s="12">
        <v>26121</v>
      </c>
      <c r="AA2" s="12">
        <v>57293</v>
      </c>
      <c r="AB2" s="12">
        <v>2421</v>
      </c>
      <c r="AC2" s="12">
        <v>18786</v>
      </c>
      <c r="AD2" s="12">
        <v>27070</v>
      </c>
      <c r="AE2" s="12">
        <v>11185</v>
      </c>
      <c r="AF2" s="12">
        <v>75366</v>
      </c>
      <c r="AG2" s="12">
        <v>18881</v>
      </c>
      <c r="AH2" s="12">
        <v>174338</v>
      </c>
      <c r="AI2" s="12">
        <v>96905</v>
      </c>
      <c r="AJ2" s="12">
        <v>6587</v>
      </c>
      <c r="AK2" s="12">
        <v>105097</v>
      </c>
      <c r="AL2" s="12">
        <v>38244</v>
      </c>
      <c r="AM2" s="12">
        <v>36231</v>
      </c>
      <c r="AN2" s="12">
        <v>133492</v>
      </c>
      <c r="AO2" s="12">
        <v>11157</v>
      </c>
      <c r="AP2" s="12">
        <v>42891</v>
      </c>
      <c r="AQ2" s="12">
        <v>6925</v>
      </c>
      <c r="AR2" s="12">
        <v>57236</v>
      </c>
      <c r="AS2" s="12">
        <v>297368</v>
      </c>
      <c r="AT2" s="12">
        <v>37391</v>
      </c>
      <c r="AU2" s="12">
        <v>5265</v>
      </c>
      <c r="AV2" s="12">
        <v>82195</v>
      </c>
      <c r="AW2" s="12">
        <v>70157</v>
      </c>
      <c r="AX2" s="12">
        <v>16152</v>
      </c>
      <c r="AY2" s="12">
        <v>56876</v>
      </c>
      <c r="AZ2" s="12">
        <v>5332</v>
      </c>
      <c r="BA2" s="12"/>
      <c r="BB2" s="14">
        <v>3085315</v>
      </c>
      <c r="BC2" s="4">
        <f>AW2+AM2+F2+M2+C2</f>
        <v>498313</v>
      </c>
      <c r="BD2" s="4">
        <f>AB2+N2+AZ2+AD2+AT2+G2+D2+AG2</f>
        <v>227020</v>
      </c>
      <c r="BE2" s="4">
        <f>AJ2+AQ2+Y2+AC2+Q2+R2+AA2</f>
        <v>208264</v>
      </c>
      <c r="BF2" s="4">
        <f>AS2+AL2+T2+E2</f>
        <v>402924</v>
      </c>
      <c r="BG2" s="4">
        <f>AY2+X2+O2+P2+AK2</f>
        <v>438170</v>
      </c>
      <c r="BH2" s="4">
        <f>S2+AR2+Z2+B2</f>
        <v>169908</v>
      </c>
      <c r="BI2" s="4">
        <f>U2+AU2+AE2+W2+H2+AO2</f>
        <v>161618</v>
      </c>
      <c r="BJ2" s="4">
        <f>AH2+AN2+AF2</f>
        <v>383196</v>
      </c>
      <c r="BK2" s="4">
        <f>AX2+AV2+AP2+I2+L2+K2+J2+AI2+V2</f>
        <v>595902</v>
      </c>
    </row>
    <row r="3" spans="1:63">
      <c r="A3" s="3">
        <v>2021</v>
      </c>
      <c r="B3" s="12">
        <v>44068</v>
      </c>
      <c r="C3" s="12">
        <v>6991.5</v>
      </c>
      <c r="D3" s="12">
        <v>68533</v>
      </c>
      <c r="E3" s="12">
        <v>28204.5</v>
      </c>
      <c r="F3" s="12">
        <v>371941</v>
      </c>
      <c r="G3" s="12">
        <v>53708.5</v>
      </c>
      <c r="H3" s="12">
        <v>42462</v>
      </c>
      <c r="I3" s="12">
        <v>8467</v>
      </c>
      <c r="J3" s="12">
        <v>4705</v>
      </c>
      <c r="K3" s="12">
        <v>186046</v>
      </c>
      <c r="L3" s="12">
        <v>112647</v>
      </c>
      <c r="M3" s="12">
        <v>10893</v>
      </c>
      <c r="N3" s="12">
        <v>19940</v>
      </c>
      <c r="O3" s="12">
        <v>120109</v>
      </c>
      <c r="P3" s="12">
        <v>68514</v>
      </c>
      <c r="Q3" s="12">
        <v>30648</v>
      </c>
      <c r="R3" s="12">
        <v>30845</v>
      </c>
      <c r="S3" s="12">
        <v>38221</v>
      </c>
      <c r="T3" s="12">
        <v>38519</v>
      </c>
      <c r="U3" s="12">
        <v>10561</v>
      </c>
      <c r="V3" s="12">
        <v>57594</v>
      </c>
      <c r="W3" s="12">
        <v>79091</v>
      </c>
      <c r="X3" s="12">
        <v>97587</v>
      </c>
      <c r="Y3" s="12">
        <v>53541</v>
      </c>
      <c r="Z3" s="12">
        <v>27051</v>
      </c>
      <c r="AA3" s="12">
        <v>58978</v>
      </c>
      <c r="AB3" s="12">
        <v>2767</v>
      </c>
      <c r="AC3" s="12">
        <v>20691</v>
      </c>
      <c r="AD3" s="12">
        <v>27998</v>
      </c>
      <c r="AE3" s="12">
        <v>10947</v>
      </c>
      <c r="AF3" s="12">
        <v>77218</v>
      </c>
      <c r="AG3" s="12">
        <v>17799.5</v>
      </c>
      <c r="AH3" s="12">
        <v>176997</v>
      </c>
      <c r="AI3" s="12">
        <v>101573</v>
      </c>
      <c r="AJ3" s="12">
        <v>7544</v>
      </c>
      <c r="AK3" s="12">
        <v>108654</v>
      </c>
      <c r="AL3" s="12">
        <v>39354</v>
      </c>
      <c r="AM3" s="12">
        <v>37640</v>
      </c>
      <c r="AN3" s="12">
        <v>142187</v>
      </c>
      <c r="AO3" s="12">
        <v>11359</v>
      </c>
      <c r="AP3" s="12">
        <v>42739</v>
      </c>
      <c r="AQ3" s="12">
        <v>7663</v>
      </c>
      <c r="AR3" s="12">
        <v>60555</v>
      </c>
      <c r="AS3" s="12">
        <v>317836</v>
      </c>
      <c r="AT3" s="12">
        <v>38515</v>
      </c>
      <c r="AU3" s="12">
        <v>5201</v>
      </c>
      <c r="AV3" s="12">
        <v>83459</v>
      </c>
      <c r="AW3" s="12">
        <v>73062</v>
      </c>
      <c r="AX3" s="12">
        <v>16290</v>
      </c>
      <c r="AY3" s="12">
        <v>53834</v>
      </c>
      <c r="AZ3" s="12">
        <v>5608.5</v>
      </c>
      <c r="BA3" s="12"/>
      <c r="BB3" s="14">
        <v>3161537</v>
      </c>
      <c r="BC3" s="4">
        <f t="shared" ref="BC3:BC10" si="0">AW3+AM3+F3+M3+C3</f>
        <v>500527.5</v>
      </c>
      <c r="BD3" s="4">
        <f t="shared" ref="BD3:BD10" si="1">AB3+N3+AZ3+AD3+AT3+G3+D3+AG3</f>
        <v>234869.5</v>
      </c>
      <c r="BE3" s="4">
        <f t="shared" ref="BE3:BE10" si="2">AJ3+AQ3+Y3+AC3+Q3+R3+AA3</f>
        <v>209910</v>
      </c>
      <c r="BF3" s="4">
        <f t="shared" ref="BF3:BF10" si="3">AS3+AL3+T3+E3</f>
        <v>423913.5</v>
      </c>
      <c r="BG3" s="4">
        <f t="shared" ref="BG3:BG10" si="4">AY3+X3+O3+P3+AK3</f>
        <v>448698</v>
      </c>
      <c r="BH3" s="4">
        <f t="shared" ref="BH3:BH10" si="5">S3+AR3+Z3+B3</f>
        <v>169895</v>
      </c>
      <c r="BI3" s="4">
        <f t="shared" ref="BI3:BI10" si="6">U3+AU3+AE3+W3+H3+AO3</f>
        <v>159621</v>
      </c>
      <c r="BJ3" s="4">
        <f t="shared" ref="BJ3:BJ10" si="7">AH3+AN3+AF3</f>
        <v>396402</v>
      </c>
      <c r="BK3" s="4">
        <f t="shared" ref="BK3:BK10" si="8">AX3+AV3+AP3+I3+L3+K3+J3+AI3+V3</f>
        <v>613520</v>
      </c>
    </row>
    <row r="4" spans="1:63">
      <c r="A4" s="3">
        <v>2022</v>
      </c>
      <c r="B4" s="12">
        <v>42466</v>
      </c>
      <c r="C4" s="12">
        <v>7416</v>
      </c>
      <c r="D4" s="12">
        <v>70229</v>
      </c>
      <c r="E4" s="12">
        <v>28161</v>
      </c>
      <c r="F4" s="12">
        <v>394129</v>
      </c>
      <c r="G4" s="12">
        <v>53948.5</v>
      </c>
      <c r="H4" s="12">
        <v>42959</v>
      </c>
      <c r="I4" s="12">
        <v>8623</v>
      </c>
      <c r="J4" s="12">
        <v>4758</v>
      </c>
      <c r="K4" s="12">
        <v>189161</v>
      </c>
      <c r="L4" s="12">
        <v>104570</v>
      </c>
      <c r="M4" s="12">
        <v>11890</v>
      </c>
      <c r="N4" s="12">
        <v>20336</v>
      </c>
      <c r="O4" s="12">
        <v>121676</v>
      </c>
      <c r="P4" s="12">
        <v>70519</v>
      </c>
      <c r="Q4" s="12">
        <v>29474.5</v>
      </c>
      <c r="R4" s="12">
        <v>30138</v>
      </c>
      <c r="S4" s="12">
        <v>36476.5</v>
      </c>
      <c r="T4" s="12">
        <v>40415.5</v>
      </c>
      <c r="U4" s="12">
        <v>10283.5</v>
      </c>
      <c r="V4" s="12">
        <v>58198</v>
      </c>
      <c r="W4" s="12">
        <v>79573</v>
      </c>
      <c r="X4" s="12">
        <v>99055</v>
      </c>
      <c r="Y4" s="12">
        <v>55301</v>
      </c>
      <c r="Z4" s="12">
        <v>27822.5</v>
      </c>
      <c r="AA4" s="12">
        <v>60654</v>
      </c>
      <c r="AB4" s="12">
        <v>2798</v>
      </c>
      <c r="AC4" s="12">
        <v>19897</v>
      </c>
      <c r="AD4" s="12">
        <v>27754</v>
      </c>
      <c r="AE4" s="12">
        <v>10572</v>
      </c>
      <c r="AF4" s="12">
        <v>79585</v>
      </c>
      <c r="AG4" s="12">
        <v>19456</v>
      </c>
      <c r="AH4" s="12">
        <v>175171</v>
      </c>
      <c r="AI4" s="12">
        <v>99899</v>
      </c>
      <c r="AJ4" s="12">
        <v>7413</v>
      </c>
      <c r="AK4" s="12">
        <v>107260</v>
      </c>
      <c r="AL4" s="12">
        <v>35372</v>
      </c>
      <c r="AM4" s="12">
        <v>37174</v>
      </c>
      <c r="AN4" s="12">
        <v>135953</v>
      </c>
      <c r="AO4" s="12">
        <v>11271</v>
      </c>
      <c r="AP4" s="12">
        <v>43411</v>
      </c>
      <c r="AQ4" s="12">
        <v>7784</v>
      </c>
      <c r="AR4" s="12">
        <v>59779.5</v>
      </c>
      <c r="AS4" s="12">
        <v>309283</v>
      </c>
      <c r="AT4" s="12">
        <v>38036</v>
      </c>
      <c r="AU4" s="12">
        <v>5013</v>
      </c>
      <c r="AV4" s="12">
        <v>83612</v>
      </c>
      <c r="AW4" s="12">
        <v>72915</v>
      </c>
      <c r="AX4" s="12">
        <v>16078</v>
      </c>
      <c r="AY4" s="12">
        <v>52042</v>
      </c>
      <c r="AZ4" s="12">
        <v>5722</v>
      </c>
      <c r="BA4" s="12"/>
      <c r="BB4" s="14">
        <v>3155052</v>
      </c>
      <c r="BC4" s="4">
        <f t="shared" si="0"/>
        <v>523524</v>
      </c>
      <c r="BD4" s="4">
        <f t="shared" si="1"/>
        <v>238279.5</v>
      </c>
      <c r="BE4" s="4">
        <f t="shared" si="2"/>
        <v>210661.5</v>
      </c>
      <c r="BF4" s="4">
        <f t="shared" si="3"/>
        <v>413231.5</v>
      </c>
      <c r="BG4" s="4">
        <f t="shared" si="4"/>
        <v>450552</v>
      </c>
      <c r="BH4" s="4">
        <f t="shared" si="5"/>
        <v>166544.5</v>
      </c>
      <c r="BI4" s="4">
        <f t="shared" si="6"/>
        <v>159671.5</v>
      </c>
      <c r="BJ4" s="4">
        <f t="shared" si="7"/>
        <v>390709</v>
      </c>
      <c r="BK4" s="4">
        <f t="shared" si="8"/>
        <v>608310</v>
      </c>
    </row>
    <row r="5" spans="1:63">
      <c r="A5" s="3">
        <v>2023</v>
      </c>
      <c r="B5" s="12">
        <v>45902</v>
      </c>
      <c r="C5" s="12">
        <v>7595</v>
      </c>
      <c r="D5" s="12">
        <v>76011</v>
      </c>
      <c r="E5" s="12">
        <v>27487.5</v>
      </c>
      <c r="F5" s="12">
        <v>378560</v>
      </c>
      <c r="G5" s="12">
        <v>54032</v>
      </c>
      <c r="H5" s="12">
        <v>40027</v>
      </c>
      <c r="I5" s="12">
        <v>8743</v>
      </c>
      <c r="J5" s="12">
        <v>4773</v>
      </c>
      <c r="K5" s="12">
        <v>191269</v>
      </c>
      <c r="L5" s="12">
        <v>103414</v>
      </c>
      <c r="M5" s="12">
        <v>12367</v>
      </c>
      <c r="N5" s="12">
        <v>21007.5</v>
      </c>
      <c r="O5" s="12">
        <v>118745</v>
      </c>
      <c r="P5" s="12">
        <v>68288</v>
      </c>
      <c r="Q5" s="12">
        <v>33160</v>
      </c>
      <c r="R5" s="12">
        <v>30543</v>
      </c>
      <c r="S5" s="12">
        <v>38516</v>
      </c>
      <c r="T5" s="12">
        <v>39854</v>
      </c>
      <c r="U5" s="12">
        <v>10648</v>
      </c>
      <c r="V5" s="12">
        <v>58958</v>
      </c>
      <c r="W5" s="12">
        <v>76506</v>
      </c>
      <c r="X5" s="12">
        <v>94127</v>
      </c>
      <c r="Y5" s="12">
        <v>56909</v>
      </c>
      <c r="Z5" s="12">
        <v>26640.5</v>
      </c>
      <c r="AA5" s="12">
        <v>59093</v>
      </c>
      <c r="AB5" s="12">
        <v>2949</v>
      </c>
      <c r="AC5" s="12">
        <v>20146</v>
      </c>
      <c r="AD5" s="12">
        <v>26918.5</v>
      </c>
      <c r="AE5" s="12">
        <v>10968</v>
      </c>
      <c r="AF5" s="12">
        <v>80087</v>
      </c>
      <c r="AG5" s="12">
        <v>18757</v>
      </c>
      <c r="AH5" s="12">
        <v>182261</v>
      </c>
      <c r="AI5" s="12">
        <v>103299</v>
      </c>
      <c r="AJ5" s="12">
        <v>8049</v>
      </c>
      <c r="AK5" s="12">
        <v>106676</v>
      </c>
      <c r="AL5" s="12">
        <v>34527</v>
      </c>
      <c r="AM5" s="12">
        <v>37483</v>
      </c>
      <c r="AN5" s="12">
        <v>133185</v>
      </c>
      <c r="AO5" s="12">
        <v>10690</v>
      </c>
      <c r="AP5" s="12">
        <v>46698.5</v>
      </c>
      <c r="AQ5" s="12">
        <v>7847</v>
      </c>
      <c r="AR5" s="12">
        <v>61129</v>
      </c>
      <c r="AS5" s="12">
        <v>321147</v>
      </c>
      <c r="AT5" s="12">
        <v>39014</v>
      </c>
      <c r="AU5" s="12">
        <v>5204</v>
      </c>
      <c r="AV5" s="12">
        <v>84021</v>
      </c>
      <c r="AW5" s="12">
        <v>73126</v>
      </c>
      <c r="AX5" s="12">
        <v>15749</v>
      </c>
      <c r="AY5" s="12">
        <v>55686</v>
      </c>
      <c r="AZ5" s="12">
        <v>5892</v>
      </c>
      <c r="BA5" s="12"/>
      <c r="BB5" s="14">
        <v>3190058</v>
      </c>
      <c r="BC5" s="4">
        <f t="shared" si="0"/>
        <v>509131</v>
      </c>
      <c r="BD5" s="4">
        <f t="shared" si="1"/>
        <v>244581</v>
      </c>
      <c r="BE5" s="4">
        <f t="shared" si="2"/>
        <v>215747</v>
      </c>
      <c r="BF5" s="4">
        <f t="shared" si="3"/>
        <v>423015.5</v>
      </c>
      <c r="BG5" s="4">
        <f t="shared" si="4"/>
        <v>443522</v>
      </c>
      <c r="BH5" s="4">
        <f t="shared" si="5"/>
        <v>172187.5</v>
      </c>
      <c r="BI5" s="4">
        <f t="shared" si="6"/>
        <v>154043</v>
      </c>
      <c r="BJ5" s="4">
        <f t="shared" si="7"/>
        <v>395533</v>
      </c>
      <c r="BK5" s="4">
        <f t="shared" si="8"/>
        <v>616924.5</v>
      </c>
    </row>
    <row r="6" spans="1:63">
      <c r="A6" s="3">
        <v>2024</v>
      </c>
      <c r="B6" s="12">
        <v>47402</v>
      </c>
      <c r="C6" s="12">
        <v>7179</v>
      </c>
      <c r="D6" s="12">
        <v>73493</v>
      </c>
      <c r="E6" s="12">
        <v>28900</v>
      </c>
      <c r="F6" s="12">
        <v>388310</v>
      </c>
      <c r="G6" s="12">
        <v>55643</v>
      </c>
      <c r="H6" s="12">
        <v>41149</v>
      </c>
      <c r="I6" s="12">
        <v>8336</v>
      </c>
      <c r="J6" s="12">
        <v>4622</v>
      </c>
      <c r="K6" s="12">
        <v>189614</v>
      </c>
      <c r="L6" s="12">
        <v>107549</v>
      </c>
      <c r="M6" s="12">
        <v>11558.5</v>
      </c>
      <c r="N6" s="12">
        <v>20828.5</v>
      </c>
      <c r="O6" s="12">
        <v>123764</v>
      </c>
      <c r="P6" s="12">
        <v>66170</v>
      </c>
      <c r="Q6" s="12">
        <v>32962</v>
      </c>
      <c r="R6" s="12">
        <v>29524</v>
      </c>
      <c r="S6" s="12">
        <v>39919</v>
      </c>
      <c r="T6" s="12">
        <v>39797</v>
      </c>
      <c r="U6" s="12">
        <v>11104</v>
      </c>
      <c r="V6" s="12">
        <v>57456</v>
      </c>
      <c r="W6" s="12">
        <v>79312</v>
      </c>
      <c r="X6" s="12">
        <v>92161</v>
      </c>
      <c r="Y6" s="12">
        <v>54089.5</v>
      </c>
      <c r="Z6" s="12">
        <v>29286</v>
      </c>
      <c r="AA6" s="12">
        <v>56593</v>
      </c>
      <c r="AB6" s="12">
        <v>2911</v>
      </c>
      <c r="AC6" s="12">
        <v>19023</v>
      </c>
      <c r="AD6" s="12">
        <v>30560</v>
      </c>
      <c r="AE6" s="12">
        <v>11176</v>
      </c>
      <c r="AF6" s="12">
        <v>78647</v>
      </c>
      <c r="AG6" s="12">
        <v>20345</v>
      </c>
      <c r="AH6" s="12">
        <v>175462.5</v>
      </c>
      <c r="AI6" s="12">
        <v>104139</v>
      </c>
      <c r="AJ6" s="12">
        <v>7840</v>
      </c>
      <c r="AK6" s="12">
        <v>108711</v>
      </c>
      <c r="AL6" s="12">
        <v>37288.5</v>
      </c>
      <c r="AM6" s="12">
        <v>39072</v>
      </c>
      <c r="AN6" s="12">
        <v>141369</v>
      </c>
      <c r="AO6" s="12">
        <v>11133</v>
      </c>
      <c r="AP6" s="12">
        <v>46555</v>
      </c>
      <c r="AQ6" s="12">
        <v>7633</v>
      </c>
      <c r="AR6" s="12">
        <v>60095</v>
      </c>
      <c r="AS6" s="12">
        <v>324065.5</v>
      </c>
      <c r="AT6" s="12">
        <v>40991</v>
      </c>
      <c r="AU6" s="12">
        <v>5371.5</v>
      </c>
      <c r="AV6" s="12">
        <v>81558</v>
      </c>
      <c r="AW6" s="12">
        <v>76859</v>
      </c>
      <c r="AX6" s="12">
        <v>15290</v>
      </c>
      <c r="AY6" s="12">
        <v>56980</v>
      </c>
      <c r="AZ6" s="12">
        <v>6140</v>
      </c>
      <c r="BA6" s="12"/>
      <c r="BB6" s="14">
        <v>3173856</v>
      </c>
      <c r="BC6" s="4">
        <f t="shared" si="0"/>
        <v>522978.5</v>
      </c>
      <c r="BD6" s="4">
        <f t="shared" si="1"/>
        <v>250911.5</v>
      </c>
      <c r="BE6" s="4">
        <f t="shared" si="2"/>
        <v>207664.5</v>
      </c>
      <c r="BF6" s="4">
        <f t="shared" si="3"/>
        <v>430051</v>
      </c>
      <c r="BG6" s="4">
        <f t="shared" si="4"/>
        <v>447786</v>
      </c>
      <c r="BH6" s="4">
        <f t="shared" si="5"/>
        <v>176702</v>
      </c>
      <c r="BI6" s="4">
        <f t="shared" si="6"/>
        <v>159245.5</v>
      </c>
      <c r="BJ6" s="4">
        <f t="shared" si="7"/>
        <v>395478.5</v>
      </c>
      <c r="BK6" s="4">
        <f t="shared" si="8"/>
        <v>615119</v>
      </c>
    </row>
    <row r="7" spans="1:63">
      <c r="A7" s="3">
        <v>2025</v>
      </c>
      <c r="B7" s="12">
        <v>46222</v>
      </c>
      <c r="C7" s="12">
        <v>7010</v>
      </c>
      <c r="D7" s="12">
        <v>78191</v>
      </c>
      <c r="E7" s="12">
        <v>29601</v>
      </c>
      <c r="F7" s="12">
        <v>401436</v>
      </c>
      <c r="G7" s="12">
        <v>52887</v>
      </c>
      <c r="H7" s="12">
        <v>41410</v>
      </c>
      <c r="I7" s="12">
        <v>8569.5</v>
      </c>
      <c r="J7" s="12">
        <v>4831</v>
      </c>
      <c r="K7" s="12">
        <v>198603</v>
      </c>
      <c r="L7" s="12">
        <v>107771</v>
      </c>
      <c r="M7" s="12">
        <v>11186.5</v>
      </c>
      <c r="N7" s="12">
        <v>20891.5</v>
      </c>
      <c r="O7" s="12">
        <v>123855</v>
      </c>
      <c r="P7" s="12">
        <v>67498</v>
      </c>
      <c r="Q7" s="12">
        <v>32821</v>
      </c>
      <c r="R7" s="12">
        <v>32443</v>
      </c>
      <c r="S7" s="12">
        <v>40771</v>
      </c>
      <c r="T7" s="12">
        <v>41387</v>
      </c>
      <c r="U7" s="12">
        <v>10455</v>
      </c>
      <c r="V7" s="12">
        <v>59139.5</v>
      </c>
      <c r="W7" s="12">
        <v>79952</v>
      </c>
      <c r="X7" s="12">
        <v>93775</v>
      </c>
      <c r="Y7" s="12">
        <v>57732</v>
      </c>
      <c r="Z7" s="12">
        <v>30361</v>
      </c>
      <c r="AA7" s="12">
        <v>58386</v>
      </c>
      <c r="AB7" s="12">
        <v>2858.5</v>
      </c>
      <c r="AC7" s="12">
        <v>20568</v>
      </c>
      <c r="AD7" s="12">
        <v>31708</v>
      </c>
      <c r="AE7" s="12">
        <v>10534</v>
      </c>
      <c r="AF7" s="12">
        <v>81890</v>
      </c>
      <c r="AG7" s="12">
        <v>20965</v>
      </c>
      <c r="AH7" s="12">
        <v>178358</v>
      </c>
      <c r="AI7" s="12">
        <v>107907</v>
      </c>
      <c r="AJ7" s="12">
        <v>8434</v>
      </c>
      <c r="AK7" s="12">
        <v>106750</v>
      </c>
      <c r="AL7" s="12">
        <v>37411</v>
      </c>
      <c r="AM7" s="12">
        <v>40327</v>
      </c>
      <c r="AN7" s="12">
        <v>139266</v>
      </c>
      <c r="AO7" s="12">
        <v>10930</v>
      </c>
      <c r="AP7" s="12">
        <v>45875</v>
      </c>
      <c r="AQ7" s="12">
        <v>8256</v>
      </c>
      <c r="AR7" s="12">
        <v>61907</v>
      </c>
      <c r="AS7" s="12">
        <v>335846</v>
      </c>
      <c r="AT7" s="12">
        <v>39410</v>
      </c>
      <c r="AU7" s="12">
        <v>5218</v>
      </c>
      <c r="AV7" s="12">
        <v>83858</v>
      </c>
      <c r="AW7" s="12">
        <v>78956</v>
      </c>
      <c r="AX7" s="12">
        <v>15891.5</v>
      </c>
      <c r="AY7" s="12">
        <v>55256</v>
      </c>
      <c r="AZ7" s="12">
        <v>6195</v>
      </c>
      <c r="BA7" s="12"/>
      <c r="BB7" s="14">
        <v>3287462</v>
      </c>
      <c r="BC7" s="4">
        <f t="shared" si="0"/>
        <v>538915.5</v>
      </c>
      <c r="BD7" s="4">
        <f t="shared" si="1"/>
        <v>253106</v>
      </c>
      <c r="BE7" s="4">
        <f t="shared" si="2"/>
        <v>218640</v>
      </c>
      <c r="BF7" s="4">
        <f t="shared" si="3"/>
        <v>444245</v>
      </c>
      <c r="BG7" s="4">
        <f t="shared" si="4"/>
        <v>447134</v>
      </c>
      <c r="BH7" s="4">
        <f t="shared" si="5"/>
        <v>179261</v>
      </c>
      <c r="BI7" s="4">
        <f t="shared" si="6"/>
        <v>158499</v>
      </c>
      <c r="BJ7" s="4">
        <f t="shared" si="7"/>
        <v>399514</v>
      </c>
      <c r="BK7" s="4">
        <f t="shared" si="8"/>
        <v>632445.5</v>
      </c>
    </row>
    <row r="8" spans="1:63">
      <c r="A8" s="3">
        <v>2026</v>
      </c>
      <c r="B8" s="12">
        <v>47061</v>
      </c>
      <c r="C8" s="12">
        <v>7252.5</v>
      </c>
      <c r="D8" s="12">
        <v>75302</v>
      </c>
      <c r="E8" s="12">
        <v>30141</v>
      </c>
      <c r="F8" s="12">
        <v>389989</v>
      </c>
      <c r="G8" s="12">
        <v>54906</v>
      </c>
      <c r="H8" s="12">
        <v>39382</v>
      </c>
      <c r="I8" s="12">
        <v>8427</v>
      </c>
      <c r="J8" s="12">
        <v>4778</v>
      </c>
      <c r="K8" s="12">
        <v>194420</v>
      </c>
      <c r="L8" s="12">
        <v>104022</v>
      </c>
      <c r="M8" s="12">
        <v>11232.5</v>
      </c>
      <c r="N8" s="12">
        <v>20385</v>
      </c>
      <c r="O8" s="12">
        <v>120698</v>
      </c>
      <c r="P8" s="12">
        <v>65858</v>
      </c>
      <c r="Q8" s="12">
        <v>33354</v>
      </c>
      <c r="R8" s="12">
        <v>32693</v>
      </c>
      <c r="S8" s="12">
        <v>39439</v>
      </c>
      <c r="T8" s="12">
        <v>42395</v>
      </c>
      <c r="U8" s="12">
        <v>10176</v>
      </c>
      <c r="V8" s="12">
        <v>57851</v>
      </c>
      <c r="W8" s="12">
        <v>77055</v>
      </c>
      <c r="X8" s="12">
        <v>93518</v>
      </c>
      <c r="Y8" s="12">
        <v>56885</v>
      </c>
      <c r="Z8" s="12">
        <v>27502</v>
      </c>
      <c r="AA8" s="12">
        <v>59299</v>
      </c>
      <c r="AB8" s="12">
        <v>2815</v>
      </c>
      <c r="AC8" s="12">
        <v>21044</v>
      </c>
      <c r="AD8" s="12">
        <v>31642</v>
      </c>
      <c r="AE8" s="12">
        <v>10194.5</v>
      </c>
      <c r="AF8" s="12">
        <v>78973</v>
      </c>
      <c r="AG8" s="12">
        <v>17973</v>
      </c>
      <c r="AH8" s="12">
        <v>173084</v>
      </c>
      <c r="AI8" s="12">
        <v>99939</v>
      </c>
      <c r="AJ8" s="12">
        <v>8651</v>
      </c>
      <c r="AK8" s="12">
        <v>110524</v>
      </c>
      <c r="AL8" s="12">
        <v>38501</v>
      </c>
      <c r="AM8" s="12">
        <v>37184</v>
      </c>
      <c r="AN8" s="12">
        <v>134161</v>
      </c>
      <c r="AO8" s="12">
        <v>10282</v>
      </c>
      <c r="AP8" s="12">
        <v>46326</v>
      </c>
      <c r="AQ8" s="12">
        <v>8325</v>
      </c>
      <c r="AR8" s="12">
        <v>62949</v>
      </c>
      <c r="AS8" s="12">
        <v>326093</v>
      </c>
      <c r="AT8" s="12">
        <v>40307</v>
      </c>
      <c r="AU8" s="12">
        <v>5019</v>
      </c>
      <c r="AV8" s="12">
        <v>83268</v>
      </c>
      <c r="AW8" s="12">
        <v>76861</v>
      </c>
      <c r="AX8" s="12">
        <v>16084</v>
      </c>
      <c r="AY8" s="12">
        <v>53710.5</v>
      </c>
      <c r="AZ8" s="12">
        <v>6426</v>
      </c>
      <c r="BA8" s="12"/>
      <c r="BB8" s="14">
        <v>3204040</v>
      </c>
      <c r="BC8" s="4">
        <f t="shared" si="0"/>
        <v>522519</v>
      </c>
      <c r="BD8" s="4">
        <f t="shared" si="1"/>
        <v>249756</v>
      </c>
      <c r="BE8" s="4">
        <f t="shared" si="2"/>
        <v>220251</v>
      </c>
      <c r="BF8" s="4">
        <f t="shared" si="3"/>
        <v>437130</v>
      </c>
      <c r="BG8" s="4">
        <f t="shared" si="4"/>
        <v>444308.5</v>
      </c>
      <c r="BH8" s="4">
        <f t="shared" si="5"/>
        <v>176951</v>
      </c>
      <c r="BI8" s="4">
        <f t="shared" si="6"/>
        <v>152108.5</v>
      </c>
      <c r="BJ8" s="4">
        <f t="shared" si="7"/>
        <v>386218</v>
      </c>
      <c r="BK8" s="4">
        <f t="shared" si="8"/>
        <v>615115</v>
      </c>
    </row>
    <row r="9" spans="1:63">
      <c r="A9" s="3">
        <v>2027</v>
      </c>
      <c r="B9" s="12">
        <v>43529</v>
      </c>
      <c r="C9" s="12">
        <v>7458.5</v>
      </c>
      <c r="D9" s="12">
        <v>72297</v>
      </c>
      <c r="E9" s="12">
        <v>29929</v>
      </c>
      <c r="F9" s="12">
        <v>367274</v>
      </c>
      <c r="G9" s="12">
        <v>50759</v>
      </c>
      <c r="H9" s="12">
        <v>38715</v>
      </c>
      <c r="I9" s="12">
        <v>8159</v>
      </c>
      <c r="J9" s="12">
        <v>4545</v>
      </c>
      <c r="K9" s="12">
        <v>191880</v>
      </c>
      <c r="L9" s="12">
        <v>101502</v>
      </c>
      <c r="M9" s="12">
        <v>11433</v>
      </c>
      <c r="N9" s="12">
        <v>19940</v>
      </c>
      <c r="O9" s="12">
        <v>113815</v>
      </c>
      <c r="P9" s="12">
        <v>64441</v>
      </c>
      <c r="Q9" s="12">
        <v>31390.5</v>
      </c>
      <c r="R9" s="12">
        <v>31207</v>
      </c>
      <c r="S9" s="12">
        <v>40457</v>
      </c>
      <c r="T9" s="12">
        <v>39121</v>
      </c>
      <c r="U9" s="12">
        <v>8953</v>
      </c>
      <c r="V9" s="12">
        <v>56177</v>
      </c>
      <c r="W9" s="12">
        <v>76104</v>
      </c>
      <c r="X9" s="12">
        <v>91820</v>
      </c>
      <c r="Y9" s="12">
        <v>54807</v>
      </c>
      <c r="Z9" s="12">
        <v>25793.5</v>
      </c>
      <c r="AA9" s="12">
        <v>58155</v>
      </c>
      <c r="AB9" s="12">
        <v>2806</v>
      </c>
      <c r="AC9" s="12">
        <v>19653</v>
      </c>
      <c r="AD9" s="12">
        <v>30627</v>
      </c>
      <c r="AE9" s="12">
        <v>8918</v>
      </c>
      <c r="AF9" s="12">
        <v>74319</v>
      </c>
      <c r="AG9" s="12">
        <v>17847</v>
      </c>
      <c r="AH9" s="12">
        <v>165673</v>
      </c>
      <c r="AI9" s="12">
        <v>100496</v>
      </c>
      <c r="AJ9" s="12">
        <v>8540</v>
      </c>
      <c r="AK9" s="12">
        <v>104494</v>
      </c>
      <c r="AL9" s="12">
        <v>38471</v>
      </c>
      <c r="AM9" s="12">
        <v>38027</v>
      </c>
      <c r="AN9" s="12">
        <v>133087</v>
      </c>
      <c r="AO9" s="12">
        <v>10202</v>
      </c>
      <c r="AP9" s="12">
        <v>45077</v>
      </c>
      <c r="AQ9" s="12">
        <v>8031</v>
      </c>
      <c r="AR9" s="12">
        <v>59628</v>
      </c>
      <c r="AS9" s="12">
        <v>319133</v>
      </c>
      <c r="AT9" s="12">
        <v>39360</v>
      </c>
      <c r="AU9" s="12">
        <v>4642</v>
      </c>
      <c r="AV9" s="12">
        <v>80450</v>
      </c>
      <c r="AW9" s="12">
        <v>78860</v>
      </c>
      <c r="AX9" s="12">
        <v>15234</v>
      </c>
      <c r="AY9" s="12">
        <v>54029</v>
      </c>
      <c r="AZ9" s="12">
        <v>5862</v>
      </c>
      <c r="BA9" s="12"/>
      <c r="BB9" s="14">
        <v>3094470</v>
      </c>
      <c r="BC9" s="4">
        <f t="shared" si="0"/>
        <v>503052.5</v>
      </c>
      <c r="BD9" s="4">
        <f t="shared" si="1"/>
        <v>239498</v>
      </c>
      <c r="BE9" s="4">
        <f t="shared" si="2"/>
        <v>211783.5</v>
      </c>
      <c r="BF9" s="4">
        <f t="shared" si="3"/>
        <v>426654</v>
      </c>
      <c r="BG9" s="4">
        <f t="shared" si="4"/>
        <v>428599</v>
      </c>
      <c r="BH9" s="4">
        <f t="shared" si="5"/>
        <v>169407.5</v>
      </c>
      <c r="BI9" s="4">
        <f t="shared" si="6"/>
        <v>147534</v>
      </c>
      <c r="BJ9" s="4">
        <f t="shared" si="7"/>
        <v>373079</v>
      </c>
      <c r="BK9" s="4">
        <f t="shared" si="8"/>
        <v>603520</v>
      </c>
    </row>
    <row r="10" spans="1:63">
      <c r="A10" s="3">
        <v>2028</v>
      </c>
      <c r="B10" s="12">
        <v>42546</v>
      </c>
      <c r="C10" s="12">
        <v>7131</v>
      </c>
      <c r="D10" s="12">
        <v>68378</v>
      </c>
      <c r="E10" s="12">
        <v>27960</v>
      </c>
      <c r="F10" s="12">
        <v>365527</v>
      </c>
      <c r="G10" s="12">
        <v>49440</v>
      </c>
      <c r="H10" s="12">
        <v>36241</v>
      </c>
      <c r="I10" s="12">
        <v>8304</v>
      </c>
      <c r="J10" s="12">
        <v>4674</v>
      </c>
      <c r="K10" s="12">
        <v>186026</v>
      </c>
      <c r="L10" s="12">
        <v>95841</v>
      </c>
      <c r="M10" s="12">
        <v>10920</v>
      </c>
      <c r="N10" s="12">
        <v>19955</v>
      </c>
      <c r="O10" s="12">
        <v>111826</v>
      </c>
      <c r="P10" s="12">
        <v>65854</v>
      </c>
      <c r="Q10" s="12">
        <v>31347</v>
      </c>
      <c r="R10" s="12">
        <v>29568</v>
      </c>
      <c r="S10" s="12">
        <v>38275</v>
      </c>
      <c r="T10" s="12">
        <v>36572</v>
      </c>
      <c r="U10" s="12">
        <v>8510</v>
      </c>
      <c r="V10" s="12">
        <v>57300</v>
      </c>
      <c r="W10" s="12">
        <v>72535</v>
      </c>
      <c r="X10" s="12">
        <v>89482</v>
      </c>
      <c r="Y10" s="12">
        <v>54919</v>
      </c>
      <c r="Z10" s="12">
        <v>26092</v>
      </c>
      <c r="AA10" s="12">
        <v>54777</v>
      </c>
      <c r="AB10" s="12">
        <v>2844</v>
      </c>
      <c r="AC10" s="12">
        <v>18884</v>
      </c>
      <c r="AD10" s="12">
        <v>30119</v>
      </c>
      <c r="AE10" s="12">
        <v>8650</v>
      </c>
      <c r="AF10" s="12">
        <v>72445</v>
      </c>
      <c r="AG10" s="12">
        <v>19788</v>
      </c>
      <c r="AH10" s="12">
        <v>162985</v>
      </c>
      <c r="AI10" s="12">
        <v>101300</v>
      </c>
      <c r="AJ10" s="12">
        <v>8747</v>
      </c>
      <c r="AK10" s="12">
        <v>94055</v>
      </c>
      <c r="AL10" s="12">
        <v>34079</v>
      </c>
      <c r="AM10" s="12">
        <v>37339</v>
      </c>
      <c r="AN10" s="12">
        <v>127949</v>
      </c>
      <c r="AO10" s="12">
        <v>9520</v>
      </c>
      <c r="AP10" s="12">
        <v>42526</v>
      </c>
      <c r="AQ10" s="12">
        <v>7814</v>
      </c>
      <c r="AR10" s="12">
        <v>55676</v>
      </c>
      <c r="AS10" s="12">
        <v>309769</v>
      </c>
      <c r="AT10" s="12">
        <v>40600</v>
      </c>
      <c r="AU10" s="12">
        <v>4380</v>
      </c>
      <c r="AV10" s="12">
        <v>82476</v>
      </c>
      <c r="AW10" s="12">
        <v>78522</v>
      </c>
      <c r="AX10" s="12">
        <v>15824</v>
      </c>
      <c r="AY10" s="12">
        <v>52666</v>
      </c>
      <c r="AZ10" s="12">
        <v>5685</v>
      </c>
      <c r="BA10" s="12"/>
      <c r="BB10" s="14">
        <v>3024642</v>
      </c>
      <c r="BC10" s="4">
        <f t="shared" si="0"/>
        <v>499439</v>
      </c>
      <c r="BD10" s="4">
        <f t="shared" si="1"/>
        <v>236809</v>
      </c>
      <c r="BE10" s="4">
        <f t="shared" si="2"/>
        <v>206056</v>
      </c>
      <c r="BF10" s="4">
        <f t="shared" si="3"/>
        <v>408380</v>
      </c>
      <c r="BG10" s="4">
        <f t="shared" si="4"/>
        <v>413883</v>
      </c>
      <c r="BH10" s="4">
        <f t="shared" si="5"/>
        <v>162589</v>
      </c>
      <c r="BI10" s="4">
        <f t="shared" si="6"/>
        <v>139836</v>
      </c>
      <c r="BJ10" s="4">
        <f t="shared" si="7"/>
        <v>363379</v>
      </c>
      <c r="BK10" s="4">
        <f t="shared" si="8"/>
        <v>594271</v>
      </c>
    </row>
  </sheetData>
  <sheetProtection algorithmName="SHA-512" hashValue="NJv4Tx0tlmr01qzq2x01Ir0pmeCVzu6ZAkpfFG8ed5hsxNVsM1RnjjJQeMGXQsZ+Xz/h2dkRFmJnU+/PLaOO7A==" saltValue="hwlPILLSd6ytf9fc2AEGhA==" spinCount="100000" sheet="1" objects="1" scenarios="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9B46-5BFB-4B37-973F-05500444FCDF}">
  <sheetPr codeName="Sheet12"/>
  <dimension ref="A1:BK10"/>
  <sheetViews>
    <sheetView topLeftCell="AF1" workbookViewId="0">
      <selection activeCell="P40" sqref="P40"/>
    </sheetView>
  </sheetViews>
  <sheetFormatPr defaultColWidth="8.85546875" defaultRowHeight="15"/>
  <cols>
    <col min="54" max="54" width="15.140625" bestFit="1" customWidth="1"/>
  </cols>
  <sheetData>
    <row r="1" spans="1:63" ht="15.75">
      <c r="A1" s="11" t="s">
        <v>113</v>
      </c>
      <c r="B1" s="11" t="s">
        <v>1</v>
      </c>
      <c r="C1" s="11" t="s">
        <v>107</v>
      </c>
      <c r="D1" s="11" t="s">
        <v>98</v>
      </c>
      <c r="E1" s="11" t="s">
        <v>93</v>
      </c>
      <c r="F1" s="11" t="s">
        <v>109</v>
      </c>
      <c r="G1" s="11" t="s">
        <v>100</v>
      </c>
      <c r="H1" s="11" t="s">
        <v>54</v>
      </c>
      <c r="I1" s="11" t="s">
        <v>79</v>
      </c>
      <c r="J1" s="11" t="s">
        <v>87</v>
      </c>
      <c r="K1" s="11" t="s">
        <v>81</v>
      </c>
      <c r="L1" s="11" t="s">
        <v>82</v>
      </c>
      <c r="M1" s="11" t="s">
        <v>110</v>
      </c>
      <c r="N1" s="11" t="s">
        <v>101</v>
      </c>
      <c r="O1" s="11" t="s">
        <v>65</v>
      </c>
      <c r="P1" s="11" t="s">
        <v>67</v>
      </c>
      <c r="Q1" s="11" t="s">
        <v>71</v>
      </c>
      <c r="R1" s="11" t="s">
        <v>73</v>
      </c>
      <c r="S1" s="11" t="s">
        <v>90</v>
      </c>
      <c r="T1" s="11" t="s">
        <v>95</v>
      </c>
      <c r="U1" s="11" t="s">
        <v>56</v>
      </c>
      <c r="V1" s="11" t="s">
        <v>83</v>
      </c>
      <c r="W1" s="11" t="s">
        <v>57</v>
      </c>
      <c r="X1" s="11" t="s">
        <v>68</v>
      </c>
      <c r="Y1" s="11" t="s">
        <v>74</v>
      </c>
      <c r="Z1" s="11" t="s">
        <v>91</v>
      </c>
      <c r="AA1" s="11" t="s">
        <v>75</v>
      </c>
      <c r="AB1" s="11" t="s">
        <v>102</v>
      </c>
      <c r="AC1" s="11" t="s">
        <v>76</v>
      </c>
      <c r="AD1" s="11" t="s">
        <v>103</v>
      </c>
      <c r="AE1" s="11" t="s">
        <v>58</v>
      </c>
      <c r="AF1" s="11" t="s">
        <v>61</v>
      </c>
      <c r="AG1" s="11" t="s">
        <v>104</v>
      </c>
      <c r="AH1" s="11" t="s">
        <v>63</v>
      </c>
      <c r="AI1" s="11" t="s">
        <v>84</v>
      </c>
      <c r="AJ1" s="11" t="s">
        <v>77</v>
      </c>
      <c r="AK1" s="11" t="s">
        <v>69</v>
      </c>
      <c r="AL1" s="11" t="s">
        <v>96</v>
      </c>
      <c r="AM1" s="11" t="s">
        <v>111</v>
      </c>
      <c r="AN1" s="11" t="s">
        <v>64</v>
      </c>
      <c r="AO1" s="11" t="s">
        <v>59</v>
      </c>
      <c r="AP1" s="11" t="s">
        <v>85</v>
      </c>
      <c r="AQ1" s="11" t="s">
        <v>78</v>
      </c>
      <c r="AR1" s="11" t="s">
        <v>92</v>
      </c>
      <c r="AS1" s="11" t="s">
        <v>97</v>
      </c>
      <c r="AT1" s="11" t="s">
        <v>105</v>
      </c>
      <c r="AU1" s="11" t="s">
        <v>60</v>
      </c>
      <c r="AV1" s="11" t="s">
        <v>86</v>
      </c>
      <c r="AW1" s="11" t="s">
        <v>112</v>
      </c>
      <c r="AX1" s="11" t="s">
        <v>88</v>
      </c>
      <c r="AY1" s="11" t="s">
        <v>70</v>
      </c>
      <c r="AZ1" s="11" t="s">
        <v>106</v>
      </c>
      <c r="BA1" s="11" t="s">
        <v>127</v>
      </c>
      <c r="BB1" s="1" t="s">
        <v>11</v>
      </c>
      <c r="BC1" s="11" t="s">
        <v>108</v>
      </c>
      <c r="BD1" s="11" t="s">
        <v>99</v>
      </c>
      <c r="BE1" s="11" t="s">
        <v>72</v>
      </c>
      <c r="BF1" s="11" t="s">
        <v>94</v>
      </c>
      <c r="BG1" s="11" t="s">
        <v>66</v>
      </c>
      <c r="BH1" s="11" t="s">
        <v>89</v>
      </c>
      <c r="BI1" s="11" t="s">
        <v>55</v>
      </c>
      <c r="BJ1" s="11" t="s">
        <v>62</v>
      </c>
      <c r="BK1" s="11" t="s">
        <v>80</v>
      </c>
    </row>
    <row r="2" spans="1:63">
      <c r="A2" s="12">
        <v>2020</v>
      </c>
      <c r="B2" s="13">
        <v>52550</v>
      </c>
      <c r="C2" s="13">
        <v>8060</v>
      </c>
      <c r="D2" s="13">
        <v>76620</v>
      </c>
      <c r="E2" s="13">
        <v>33790</v>
      </c>
      <c r="F2" s="13">
        <v>480580</v>
      </c>
      <c r="G2" s="13">
        <v>61680</v>
      </c>
      <c r="H2" s="13">
        <v>43180</v>
      </c>
      <c r="I2" s="13">
        <v>10620</v>
      </c>
      <c r="J2" s="13">
        <v>4570</v>
      </c>
      <c r="K2" s="13">
        <v>180530</v>
      </c>
      <c r="L2" s="13">
        <v>122310</v>
      </c>
      <c r="M2" s="13">
        <v>14830</v>
      </c>
      <c r="N2" s="13">
        <v>20710</v>
      </c>
      <c r="O2" s="13">
        <v>150270</v>
      </c>
      <c r="P2" s="13">
        <v>77810</v>
      </c>
      <c r="Q2" s="13">
        <v>36850</v>
      </c>
      <c r="R2" s="13">
        <v>36610</v>
      </c>
      <c r="S2" s="13">
        <v>50250</v>
      </c>
      <c r="T2" s="13">
        <v>51800</v>
      </c>
      <c r="U2" s="13">
        <v>14300</v>
      </c>
      <c r="V2" s="13">
        <v>70710</v>
      </c>
      <c r="W2" s="13">
        <v>78590</v>
      </c>
      <c r="X2" s="13">
        <v>108160</v>
      </c>
      <c r="Y2" s="13">
        <v>59860</v>
      </c>
      <c r="Z2" s="13">
        <v>31310</v>
      </c>
      <c r="AA2" s="13">
        <v>70660</v>
      </c>
      <c r="AB2" s="13">
        <v>9900</v>
      </c>
      <c r="AC2" s="13">
        <v>24610</v>
      </c>
      <c r="AD2" s="13">
        <v>30290</v>
      </c>
      <c r="AE2" s="13">
        <v>16060</v>
      </c>
      <c r="AF2" s="13">
        <v>112600</v>
      </c>
      <c r="AG2" s="13">
        <v>20650</v>
      </c>
      <c r="AH2" s="13">
        <v>213590</v>
      </c>
      <c r="AI2" s="13">
        <v>114580</v>
      </c>
      <c r="AJ2" s="13">
        <v>7250</v>
      </c>
      <c r="AK2" s="13">
        <v>135160</v>
      </c>
      <c r="AL2" s="13">
        <v>45120</v>
      </c>
      <c r="AM2" s="13">
        <v>40920</v>
      </c>
      <c r="AN2" s="13">
        <v>143190</v>
      </c>
      <c r="AO2" s="13">
        <v>9780</v>
      </c>
      <c r="AP2" s="13">
        <v>52840</v>
      </c>
      <c r="AQ2" s="13">
        <v>9450</v>
      </c>
      <c r="AR2" s="13">
        <v>72130</v>
      </c>
      <c r="AS2" s="13">
        <v>374620</v>
      </c>
      <c r="AT2" s="13">
        <v>44950</v>
      </c>
      <c r="AU2" s="13">
        <v>6520</v>
      </c>
      <c r="AV2" s="13">
        <v>94510</v>
      </c>
      <c r="AW2" s="13">
        <v>73660</v>
      </c>
      <c r="AX2" s="13">
        <v>18510</v>
      </c>
      <c r="AY2" s="13">
        <v>65960</v>
      </c>
      <c r="AZ2" s="13">
        <v>5650</v>
      </c>
      <c r="BA2" s="12"/>
      <c r="BB2" s="13">
        <v>3730760</v>
      </c>
      <c r="BC2" s="4">
        <f>AW2+AM2+F2+M2+C2</f>
        <v>618050</v>
      </c>
      <c r="BD2" s="4">
        <f>AB2+N2+AZ2+AD2+AT2+G2+D2+AG2</f>
        <v>270450</v>
      </c>
      <c r="BE2" s="4">
        <f>AJ2+AQ2+Y2+AC2+Q2+R2+AA2</f>
        <v>245290</v>
      </c>
      <c r="BF2" s="4">
        <f>AS2+AL2+T2+E2</f>
        <v>505330</v>
      </c>
      <c r="BG2" s="4">
        <f>AY2+X2+O2+P2+AK2</f>
        <v>537360</v>
      </c>
      <c r="BH2" s="4">
        <f>S2+AR2+Z2+B2</f>
        <v>206240</v>
      </c>
      <c r="BI2" s="4">
        <f>U2+AU2+AE2+W2+H2+AO2</f>
        <v>168430</v>
      </c>
      <c r="BJ2" s="4">
        <f>AH2+AN2+AF2</f>
        <v>469380</v>
      </c>
      <c r="BK2" s="4">
        <f>AX2+AV2+AP2+I2+L2+K2+J2+AI2+V2</f>
        <v>669180</v>
      </c>
    </row>
    <row r="3" spans="1:63">
      <c r="A3" s="12">
        <v>2021</v>
      </c>
      <c r="B3" s="12">
        <v>51750</v>
      </c>
      <c r="C3" s="12">
        <v>8000</v>
      </c>
      <c r="D3" s="12">
        <v>79200</v>
      </c>
      <c r="E3" s="12">
        <v>33200</v>
      </c>
      <c r="F3" s="12">
        <v>491830</v>
      </c>
      <c r="G3" s="12">
        <v>62970</v>
      </c>
      <c r="H3" s="12">
        <v>44000</v>
      </c>
      <c r="I3" s="12">
        <v>10760</v>
      </c>
      <c r="J3" s="12">
        <v>4550</v>
      </c>
      <c r="K3" s="12">
        <v>181010</v>
      </c>
      <c r="L3" s="12">
        <v>120560</v>
      </c>
      <c r="M3" s="12">
        <v>14930</v>
      </c>
      <c r="N3" s="12">
        <v>21230</v>
      </c>
      <c r="O3" s="12">
        <v>149320</v>
      </c>
      <c r="P3" s="12">
        <v>76010</v>
      </c>
      <c r="Q3" s="12">
        <v>37390</v>
      </c>
      <c r="R3" s="12">
        <v>37290</v>
      </c>
      <c r="S3" s="12">
        <v>50540</v>
      </c>
      <c r="T3" s="12">
        <v>51080</v>
      </c>
      <c r="U3" s="12">
        <v>14190</v>
      </c>
      <c r="V3" s="12">
        <v>70910</v>
      </c>
      <c r="W3" s="12">
        <v>79210</v>
      </c>
      <c r="X3" s="12">
        <v>105640</v>
      </c>
      <c r="Y3" s="12">
        <v>61140</v>
      </c>
      <c r="Z3" s="12">
        <v>30630</v>
      </c>
      <c r="AA3" s="12">
        <v>72570</v>
      </c>
      <c r="AB3" s="12">
        <v>9940</v>
      </c>
      <c r="AC3" s="12">
        <v>25260</v>
      </c>
      <c r="AD3" s="12">
        <v>30730</v>
      </c>
      <c r="AE3" s="12">
        <v>15550</v>
      </c>
      <c r="AF3" s="12">
        <v>113720</v>
      </c>
      <c r="AG3" s="12">
        <v>20640</v>
      </c>
      <c r="AH3" s="12">
        <v>210310</v>
      </c>
      <c r="AI3" s="12">
        <v>114050</v>
      </c>
      <c r="AJ3" s="12">
        <v>7450</v>
      </c>
      <c r="AK3" s="12">
        <v>134700</v>
      </c>
      <c r="AL3" s="12">
        <v>46240</v>
      </c>
      <c r="AM3" s="12">
        <v>41190</v>
      </c>
      <c r="AN3" s="12">
        <v>144390</v>
      </c>
      <c r="AO3" s="12">
        <v>9650</v>
      </c>
      <c r="AP3" s="12">
        <v>53090</v>
      </c>
      <c r="AQ3" s="12">
        <v>9890</v>
      </c>
      <c r="AR3" s="12">
        <v>72010</v>
      </c>
      <c r="AS3" s="12">
        <v>379460</v>
      </c>
      <c r="AT3" s="12">
        <v>46410</v>
      </c>
      <c r="AU3" s="12">
        <v>6450</v>
      </c>
      <c r="AV3" s="12">
        <v>94760</v>
      </c>
      <c r="AW3" s="12">
        <v>74420</v>
      </c>
      <c r="AX3" s="12">
        <v>18140</v>
      </c>
      <c r="AY3" s="12">
        <v>66470</v>
      </c>
      <c r="AZ3" s="12">
        <v>5850</v>
      </c>
      <c r="BA3" s="12"/>
      <c r="BB3" s="13">
        <v>3753990</v>
      </c>
      <c r="BC3" s="4">
        <f t="shared" ref="BC3:BC10" si="0">AW3+AM3+F3+M3+C3</f>
        <v>630370</v>
      </c>
      <c r="BD3" s="4">
        <f t="shared" ref="BD3:BD10" si="1">AB3+N3+AZ3+AD3+AT3+G3+D3+AG3</f>
        <v>276970</v>
      </c>
      <c r="BE3" s="4">
        <f t="shared" ref="BE3:BE10" si="2">AJ3+AQ3+Y3+AC3+Q3+R3+AA3</f>
        <v>250990</v>
      </c>
      <c r="BF3" s="4">
        <f t="shared" ref="BF3:BF10" si="3">AS3+AL3+T3+E3</f>
        <v>509980</v>
      </c>
      <c r="BG3" s="4">
        <f t="shared" ref="BG3:BG10" si="4">AY3+X3+O3+P3+AK3</f>
        <v>532140</v>
      </c>
      <c r="BH3" s="4">
        <f t="shared" ref="BH3:BH10" si="5">S3+AR3+Z3+B3</f>
        <v>204930</v>
      </c>
      <c r="BI3" s="4">
        <f t="shared" ref="BI3:BI10" si="6">U3+AU3+AE3+W3+H3+AO3</f>
        <v>169050</v>
      </c>
      <c r="BJ3" s="4">
        <f t="shared" ref="BJ3:BJ10" si="7">AH3+AN3+AF3</f>
        <v>468420</v>
      </c>
      <c r="BK3" s="4">
        <f t="shared" ref="BK3:BK10" si="8">AX3+AV3+AP3+I3+L3+K3+J3+AI3+V3</f>
        <v>667830</v>
      </c>
    </row>
    <row r="4" spans="1:63">
      <c r="A4" s="12">
        <v>2022</v>
      </c>
      <c r="B4" s="12">
        <v>51410</v>
      </c>
      <c r="C4" s="12">
        <v>8050</v>
      </c>
      <c r="D4" s="12">
        <v>79770</v>
      </c>
      <c r="E4" s="12">
        <v>32950</v>
      </c>
      <c r="F4" s="12">
        <v>490170</v>
      </c>
      <c r="G4" s="12">
        <v>63130</v>
      </c>
      <c r="H4" s="12">
        <v>43520</v>
      </c>
      <c r="I4" s="12">
        <v>10800</v>
      </c>
      <c r="J4" s="12">
        <v>4320</v>
      </c>
      <c r="K4" s="12">
        <v>183340</v>
      </c>
      <c r="L4" s="12">
        <v>119360</v>
      </c>
      <c r="M4" s="12">
        <v>15170</v>
      </c>
      <c r="N4" s="12">
        <v>21680</v>
      </c>
      <c r="O4" s="12">
        <v>148830</v>
      </c>
      <c r="P4" s="12">
        <v>77270</v>
      </c>
      <c r="Q4" s="12">
        <v>37090</v>
      </c>
      <c r="R4" s="12">
        <v>36880</v>
      </c>
      <c r="S4" s="12">
        <v>50200</v>
      </c>
      <c r="T4" s="12">
        <v>50680</v>
      </c>
      <c r="U4" s="12">
        <v>14450</v>
      </c>
      <c r="V4" s="12">
        <v>71830</v>
      </c>
      <c r="W4" s="12">
        <v>78760</v>
      </c>
      <c r="X4" s="12">
        <v>107390</v>
      </c>
      <c r="Y4" s="12">
        <v>62570</v>
      </c>
      <c r="Z4" s="12">
        <v>31000</v>
      </c>
      <c r="AA4" s="12">
        <v>71820</v>
      </c>
      <c r="AB4" s="12">
        <v>9880</v>
      </c>
      <c r="AC4" s="12">
        <v>25950</v>
      </c>
      <c r="AD4" s="12">
        <v>31610</v>
      </c>
      <c r="AE4" s="12">
        <v>15480</v>
      </c>
      <c r="AF4" s="12">
        <v>114770</v>
      </c>
      <c r="AG4" s="12">
        <v>21140</v>
      </c>
      <c r="AH4" s="12">
        <v>206590</v>
      </c>
      <c r="AI4" s="12">
        <v>110840</v>
      </c>
      <c r="AJ4" s="12">
        <v>7650</v>
      </c>
      <c r="AK4" s="12">
        <v>132230</v>
      </c>
      <c r="AL4" s="12">
        <v>45900</v>
      </c>
      <c r="AM4" s="12">
        <v>41880</v>
      </c>
      <c r="AN4" s="12">
        <v>145000</v>
      </c>
      <c r="AO4" s="12">
        <v>9830</v>
      </c>
      <c r="AP4" s="12">
        <v>53120</v>
      </c>
      <c r="AQ4" s="12">
        <v>10080</v>
      </c>
      <c r="AR4" s="12">
        <v>72480</v>
      </c>
      <c r="AS4" s="12">
        <v>382650</v>
      </c>
      <c r="AT4" s="12">
        <v>47480</v>
      </c>
      <c r="AU4" s="12">
        <v>6440</v>
      </c>
      <c r="AV4" s="12">
        <v>96080</v>
      </c>
      <c r="AW4" s="12">
        <v>75400</v>
      </c>
      <c r="AX4" s="12">
        <v>18150</v>
      </c>
      <c r="AY4" s="12">
        <v>66410</v>
      </c>
      <c r="AZ4" s="12">
        <v>5830</v>
      </c>
      <c r="BA4" s="12"/>
      <c r="BB4" s="13">
        <v>3756590</v>
      </c>
      <c r="BC4" s="4">
        <f t="shared" si="0"/>
        <v>630670</v>
      </c>
      <c r="BD4" s="4">
        <f t="shared" si="1"/>
        <v>280520</v>
      </c>
      <c r="BE4" s="4">
        <f t="shared" si="2"/>
        <v>252040</v>
      </c>
      <c r="BF4" s="4">
        <f t="shared" si="3"/>
        <v>512180</v>
      </c>
      <c r="BG4" s="4">
        <f t="shared" si="4"/>
        <v>532130</v>
      </c>
      <c r="BH4" s="4">
        <f t="shared" si="5"/>
        <v>205090</v>
      </c>
      <c r="BI4" s="4">
        <f t="shared" si="6"/>
        <v>168480</v>
      </c>
      <c r="BJ4" s="4">
        <f t="shared" si="7"/>
        <v>466360</v>
      </c>
      <c r="BK4" s="4">
        <f t="shared" si="8"/>
        <v>667840</v>
      </c>
    </row>
    <row r="5" spans="1:63">
      <c r="A5" s="12">
        <v>2023</v>
      </c>
      <c r="B5" s="12">
        <v>51770</v>
      </c>
      <c r="C5" s="12">
        <v>8210</v>
      </c>
      <c r="D5" s="12">
        <v>80570</v>
      </c>
      <c r="E5" s="12">
        <v>33000</v>
      </c>
      <c r="F5" s="12">
        <v>495930</v>
      </c>
      <c r="G5" s="12">
        <v>63460</v>
      </c>
      <c r="H5" s="12">
        <v>43530</v>
      </c>
      <c r="I5" s="12">
        <v>10890</v>
      </c>
      <c r="J5" s="12">
        <v>4410</v>
      </c>
      <c r="K5" s="12">
        <v>187890</v>
      </c>
      <c r="L5" s="12">
        <v>121190</v>
      </c>
      <c r="M5" s="12">
        <v>15140</v>
      </c>
      <c r="N5" s="12">
        <v>22940</v>
      </c>
      <c r="O5" s="12">
        <v>148120</v>
      </c>
      <c r="P5" s="12">
        <v>76810</v>
      </c>
      <c r="Q5" s="12">
        <v>37850</v>
      </c>
      <c r="R5" s="12">
        <v>36960</v>
      </c>
      <c r="S5" s="12">
        <v>50250</v>
      </c>
      <c r="T5" s="12">
        <v>50380</v>
      </c>
      <c r="U5" s="12">
        <v>14790</v>
      </c>
      <c r="V5" s="12">
        <v>72950</v>
      </c>
      <c r="W5" s="12">
        <v>78180</v>
      </c>
      <c r="X5" s="12">
        <v>106020</v>
      </c>
      <c r="Y5" s="12">
        <v>62760</v>
      </c>
      <c r="Z5" s="12">
        <v>30760</v>
      </c>
      <c r="AA5" s="12">
        <v>71620</v>
      </c>
      <c r="AB5" s="12">
        <v>9940</v>
      </c>
      <c r="AC5" s="12">
        <v>25640</v>
      </c>
      <c r="AD5" s="12">
        <v>32680</v>
      </c>
      <c r="AE5" s="12">
        <v>15050</v>
      </c>
      <c r="AF5" s="12">
        <v>115250</v>
      </c>
      <c r="AG5" s="12">
        <v>21290</v>
      </c>
      <c r="AH5" s="12">
        <v>207770</v>
      </c>
      <c r="AI5" s="12">
        <v>114610</v>
      </c>
      <c r="AJ5" s="12">
        <v>7710</v>
      </c>
      <c r="AK5" s="12">
        <v>130560</v>
      </c>
      <c r="AL5" s="12">
        <v>44420</v>
      </c>
      <c r="AM5" s="12">
        <v>42040</v>
      </c>
      <c r="AN5" s="12">
        <v>143720</v>
      </c>
      <c r="AO5" s="12">
        <v>9760</v>
      </c>
      <c r="AP5" s="12">
        <v>54450</v>
      </c>
      <c r="AQ5" s="12">
        <v>10320</v>
      </c>
      <c r="AR5" s="12">
        <v>73310</v>
      </c>
      <c r="AS5" s="12">
        <v>392010</v>
      </c>
      <c r="AT5" s="12">
        <v>48240</v>
      </c>
      <c r="AU5" s="12">
        <v>6510</v>
      </c>
      <c r="AV5" s="12">
        <v>96700</v>
      </c>
      <c r="AW5" s="12">
        <v>76250</v>
      </c>
      <c r="AX5" s="12">
        <v>17850</v>
      </c>
      <c r="AY5" s="12">
        <v>66640</v>
      </c>
      <c r="AZ5" s="12">
        <v>6110</v>
      </c>
      <c r="BA5" s="12"/>
      <c r="BB5" s="13">
        <v>3792880</v>
      </c>
      <c r="BC5" s="4">
        <f t="shared" si="0"/>
        <v>637570</v>
      </c>
      <c r="BD5" s="4">
        <f t="shared" si="1"/>
        <v>285230</v>
      </c>
      <c r="BE5" s="4">
        <f t="shared" si="2"/>
        <v>252860</v>
      </c>
      <c r="BF5" s="4">
        <f t="shared" si="3"/>
        <v>519810</v>
      </c>
      <c r="BG5" s="4">
        <f t="shared" si="4"/>
        <v>528150</v>
      </c>
      <c r="BH5" s="4">
        <f t="shared" si="5"/>
        <v>206090</v>
      </c>
      <c r="BI5" s="4">
        <f t="shared" si="6"/>
        <v>167820</v>
      </c>
      <c r="BJ5" s="4">
        <f t="shared" si="7"/>
        <v>466740</v>
      </c>
      <c r="BK5" s="4">
        <f t="shared" si="8"/>
        <v>680940</v>
      </c>
    </row>
    <row r="6" spans="1:63">
      <c r="A6" s="12">
        <v>2024</v>
      </c>
      <c r="B6" s="12">
        <v>52080</v>
      </c>
      <c r="C6" s="12">
        <v>8300</v>
      </c>
      <c r="D6" s="12">
        <v>82600</v>
      </c>
      <c r="E6" s="12">
        <v>32970</v>
      </c>
      <c r="F6" s="12">
        <v>506900</v>
      </c>
      <c r="G6" s="12">
        <v>64680</v>
      </c>
      <c r="H6" s="12">
        <v>42840</v>
      </c>
      <c r="I6" s="12">
        <v>11170</v>
      </c>
      <c r="J6" s="12">
        <v>4580</v>
      </c>
      <c r="K6" s="12">
        <v>197390</v>
      </c>
      <c r="L6" s="12">
        <v>123780</v>
      </c>
      <c r="M6" s="12">
        <v>15410</v>
      </c>
      <c r="N6" s="12">
        <v>23260</v>
      </c>
      <c r="O6" s="12">
        <v>147030</v>
      </c>
      <c r="P6" s="12">
        <v>78410</v>
      </c>
      <c r="Q6" s="12">
        <v>38820</v>
      </c>
      <c r="R6" s="12">
        <v>37490</v>
      </c>
      <c r="S6" s="12">
        <v>50950</v>
      </c>
      <c r="T6" s="12">
        <v>51220</v>
      </c>
      <c r="U6" s="12">
        <v>14500</v>
      </c>
      <c r="V6" s="12">
        <v>75310</v>
      </c>
      <c r="W6" s="12">
        <v>78440</v>
      </c>
      <c r="X6" s="12">
        <v>107140</v>
      </c>
      <c r="Y6" s="12">
        <v>63970</v>
      </c>
      <c r="Z6" s="12">
        <v>30810</v>
      </c>
      <c r="AA6" s="12">
        <v>72940</v>
      </c>
      <c r="AB6" s="12">
        <v>10520</v>
      </c>
      <c r="AC6" s="12">
        <v>25890</v>
      </c>
      <c r="AD6" s="12">
        <v>33590</v>
      </c>
      <c r="AE6" s="12">
        <v>15050</v>
      </c>
      <c r="AF6" s="12">
        <v>117140</v>
      </c>
      <c r="AG6" s="12">
        <v>21240</v>
      </c>
      <c r="AH6" s="12">
        <v>210530</v>
      </c>
      <c r="AI6" s="12">
        <v>118350</v>
      </c>
      <c r="AJ6" s="12">
        <v>8110</v>
      </c>
      <c r="AK6" s="12">
        <v>132520</v>
      </c>
      <c r="AL6" s="12">
        <v>46830</v>
      </c>
      <c r="AM6" s="12">
        <v>43430</v>
      </c>
      <c r="AN6" s="12">
        <v>146450</v>
      </c>
      <c r="AO6" s="12">
        <v>9880</v>
      </c>
      <c r="AP6" s="12">
        <v>56200</v>
      </c>
      <c r="AQ6" s="12">
        <v>10590</v>
      </c>
      <c r="AR6" s="12">
        <v>75070</v>
      </c>
      <c r="AS6" s="12">
        <v>398030</v>
      </c>
      <c r="AT6" s="12">
        <v>49880</v>
      </c>
      <c r="AU6" s="12">
        <v>6360</v>
      </c>
      <c r="AV6" s="12">
        <v>98180</v>
      </c>
      <c r="AW6" s="12">
        <v>78590</v>
      </c>
      <c r="AX6" s="12">
        <v>17550</v>
      </c>
      <c r="AY6" s="12">
        <v>67530</v>
      </c>
      <c r="AZ6" s="12">
        <v>6200</v>
      </c>
      <c r="BA6" s="12"/>
      <c r="BB6" s="13">
        <v>3868050</v>
      </c>
      <c r="BC6" s="4">
        <f t="shared" si="0"/>
        <v>652630</v>
      </c>
      <c r="BD6" s="4">
        <f t="shared" si="1"/>
        <v>291970</v>
      </c>
      <c r="BE6" s="4">
        <f t="shared" si="2"/>
        <v>257810</v>
      </c>
      <c r="BF6" s="4">
        <f t="shared" si="3"/>
        <v>529050</v>
      </c>
      <c r="BG6" s="4">
        <f t="shared" si="4"/>
        <v>532630</v>
      </c>
      <c r="BH6" s="4">
        <f t="shared" si="5"/>
        <v>208910</v>
      </c>
      <c r="BI6" s="4">
        <f t="shared" si="6"/>
        <v>167070</v>
      </c>
      <c r="BJ6" s="4">
        <f t="shared" si="7"/>
        <v>474120</v>
      </c>
      <c r="BK6" s="4">
        <f t="shared" si="8"/>
        <v>702510</v>
      </c>
    </row>
    <row r="7" spans="1:63">
      <c r="A7" s="12">
        <v>2025</v>
      </c>
      <c r="B7" s="12">
        <v>53640</v>
      </c>
      <c r="C7" s="12">
        <v>8400</v>
      </c>
      <c r="D7" s="12">
        <v>84630</v>
      </c>
      <c r="E7" s="12">
        <v>35310</v>
      </c>
      <c r="F7" s="12">
        <v>491240</v>
      </c>
      <c r="G7" s="12">
        <v>65300</v>
      </c>
      <c r="H7" s="12">
        <v>43280</v>
      </c>
      <c r="I7" s="12">
        <v>11230</v>
      </c>
      <c r="J7" s="12">
        <v>4980</v>
      </c>
      <c r="K7" s="12">
        <v>196810</v>
      </c>
      <c r="L7" s="12">
        <v>127690</v>
      </c>
      <c r="M7" s="12">
        <v>15500</v>
      </c>
      <c r="N7" s="12">
        <v>24410</v>
      </c>
      <c r="O7" s="12">
        <v>148090</v>
      </c>
      <c r="P7" s="12">
        <v>79780</v>
      </c>
      <c r="Q7" s="12">
        <v>39620</v>
      </c>
      <c r="R7" s="12">
        <v>38440</v>
      </c>
      <c r="S7" s="12">
        <v>52120</v>
      </c>
      <c r="T7" s="12">
        <v>53090</v>
      </c>
      <c r="U7" s="12">
        <v>14810</v>
      </c>
      <c r="V7" s="12">
        <v>77650</v>
      </c>
      <c r="W7" s="12">
        <v>79420</v>
      </c>
      <c r="X7" s="12">
        <v>107670</v>
      </c>
      <c r="Y7" s="12">
        <v>65400</v>
      </c>
      <c r="Z7" s="12">
        <v>32910</v>
      </c>
      <c r="AA7" s="12">
        <v>74920</v>
      </c>
      <c r="AB7" s="12">
        <v>10410</v>
      </c>
      <c r="AC7" s="12">
        <v>24880</v>
      </c>
      <c r="AD7" s="12">
        <v>35450</v>
      </c>
      <c r="AE7" s="12">
        <v>14920</v>
      </c>
      <c r="AF7" s="12">
        <v>119620</v>
      </c>
      <c r="AG7" s="12">
        <v>21800</v>
      </c>
      <c r="AH7" s="12">
        <v>213400</v>
      </c>
      <c r="AI7" s="12">
        <v>120980</v>
      </c>
      <c r="AJ7" s="12">
        <v>8490</v>
      </c>
      <c r="AK7" s="12">
        <v>134530</v>
      </c>
      <c r="AL7" s="12">
        <v>48660</v>
      </c>
      <c r="AM7" s="12">
        <v>44610</v>
      </c>
      <c r="AN7" s="12">
        <v>148510</v>
      </c>
      <c r="AO7" s="12">
        <v>10000</v>
      </c>
      <c r="AP7" s="12">
        <v>58940</v>
      </c>
      <c r="AQ7" s="12">
        <v>10990</v>
      </c>
      <c r="AR7" s="12">
        <v>76880</v>
      </c>
      <c r="AS7" s="12">
        <v>413100</v>
      </c>
      <c r="AT7" s="12">
        <v>51680</v>
      </c>
      <c r="AU7" s="12">
        <v>6710</v>
      </c>
      <c r="AV7" s="12">
        <v>100210</v>
      </c>
      <c r="AW7" s="12">
        <v>81170</v>
      </c>
      <c r="AX7" s="12">
        <v>18050</v>
      </c>
      <c r="AY7" s="12">
        <v>69530</v>
      </c>
      <c r="AZ7" s="12">
        <v>6330</v>
      </c>
      <c r="BA7" s="12"/>
      <c r="BB7" s="13">
        <v>3931400</v>
      </c>
      <c r="BC7" s="4">
        <f t="shared" si="0"/>
        <v>640920</v>
      </c>
      <c r="BD7" s="4">
        <f t="shared" si="1"/>
        <v>300010</v>
      </c>
      <c r="BE7" s="4">
        <f t="shared" si="2"/>
        <v>262740</v>
      </c>
      <c r="BF7" s="4">
        <f t="shared" si="3"/>
        <v>550160</v>
      </c>
      <c r="BG7" s="4">
        <f t="shared" si="4"/>
        <v>539600</v>
      </c>
      <c r="BH7" s="4">
        <f t="shared" si="5"/>
        <v>215550</v>
      </c>
      <c r="BI7" s="4">
        <f t="shared" si="6"/>
        <v>169140</v>
      </c>
      <c r="BJ7" s="4">
        <f t="shared" si="7"/>
        <v>481530</v>
      </c>
      <c r="BK7" s="4">
        <f t="shared" si="8"/>
        <v>716540</v>
      </c>
    </row>
    <row r="8" spans="1:63">
      <c r="A8" s="12">
        <v>2026</v>
      </c>
      <c r="B8" s="12">
        <v>53920</v>
      </c>
      <c r="C8" s="12">
        <v>8470</v>
      </c>
      <c r="D8" s="12">
        <v>85030</v>
      </c>
      <c r="E8" s="12">
        <v>35130</v>
      </c>
      <c r="F8" s="12">
        <v>485160</v>
      </c>
      <c r="G8" s="12">
        <v>65820</v>
      </c>
      <c r="H8" s="12">
        <v>41840</v>
      </c>
      <c r="I8" s="12">
        <v>11390</v>
      </c>
      <c r="J8" s="12">
        <v>4960</v>
      </c>
      <c r="K8" s="12">
        <v>203500</v>
      </c>
      <c r="L8" s="12">
        <v>126890</v>
      </c>
      <c r="M8" s="12">
        <v>15800</v>
      </c>
      <c r="N8" s="12">
        <v>24820</v>
      </c>
      <c r="O8" s="12">
        <v>145480</v>
      </c>
      <c r="P8" s="12">
        <v>80430</v>
      </c>
      <c r="Q8" s="12">
        <v>39870</v>
      </c>
      <c r="R8" s="12">
        <v>38420</v>
      </c>
      <c r="S8" s="12">
        <v>51670</v>
      </c>
      <c r="T8" s="12">
        <v>53280</v>
      </c>
      <c r="U8" s="12">
        <v>14850</v>
      </c>
      <c r="V8" s="12">
        <v>78770</v>
      </c>
      <c r="W8" s="12">
        <v>79370</v>
      </c>
      <c r="X8" s="12">
        <v>103880</v>
      </c>
      <c r="Y8" s="12">
        <v>65390</v>
      </c>
      <c r="Z8" s="12">
        <v>32670</v>
      </c>
      <c r="AA8" s="12">
        <v>74940</v>
      </c>
      <c r="AB8" s="12">
        <v>10660</v>
      </c>
      <c r="AC8" s="12">
        <v>26710</v>
      </c>
      <c r="AD8" s="12">
        <v>35620</v>
      </c>
      <c r="AE8" s="12">
        <v>14630</v>
      </c>
      <c r="AF8" s="12">
        <v>118160</v>
      </c>
      <c r="AG8" s="12">
        <v>21820</v>
      </c>
      <c r="AH8" s="12">
        <v>211170</v>
      </c>
      <c r="AI8" s="12">
        <v>120990</v>
      </c>
      <c r="AJ8" s="12">
        <v>8650</v>
      </c>
      <c r="AK8" s="12">
        <v>133490</v>
      </c>
      <c r="AL8" s="12">
        <v>48920</v>
      </c>
      <c r="AM8" s="12">
        <v>44920</v>
      </c>
      <c r="AN8" s="12">
        <v>149050</v>
      </c>
      <c r="AO8" s="12">
        <v>9900</v>
      </c>
      <c r="AP8" s="12">
        <v>59030</v>
      </c>
      <c r="AQ8" s="12">
        <v>11010</v>
      </c>
      <c r="AR8" s="12">
        <v>76190</v>
      </c>
      <c r="AS8" s="12">
        <v>416210</v>
      </c>
      <c r="AT8" s="12">
        <v>51810</v>
      </c>
      <c r="AU8" s="12">
        <v>6590</v>
      </c>
      <c r="AV8" s="12">
        <v>100160</v>
      </c>
      <c r="AW8" s="12">
        <v>81860</v>
      </c>
      <c r="AX8" s="12">
        <v>17840</v>
      </c>
      <c r="AY8" s="12">
        <v>68890</v>
      </c>
      <c r="AZ8" s="12">
        <v>6230</v>
      </c>
      <c r="BA8" s="12"/>
      <c r="BB8" s="13">
        <v>3931070</v>
      </c>
      <c r="BC8" s="4">
        <f t="shared" si="0"/>
        <v>636210</v>
      </c>
      <c r="BD8" s="4">
        <f t="shared" si="1"/>
        <v>301810</v>
      </c>
      <c r="BE8" s="4">
        <f t="shared" si="2"/>
        <v>264990</v>
      </c>
      <c r="BF8" s="4">
        <f t="shared" si="3"/>
        <v>553540</v>
      </c>
      <c r="BG8" s="4">
        <f t="shared" si="4"/>
        <v>532170</v>
      </c>
      <c r="BH8" s="4">
        <f t="shared" si="5"/>
        <v>214450</v>
      </c>
      <c r="BI8" s="4">
        <f t="shared" si="6"/>
        <v>167180</v>
      </c>
      <c r="BJ8" s="4">
        <f t="shared" si="7"/>
        <v>478380</v>
      </c>
      <c r="BK8" s="4">
        <f t="shared" si="8"/>
        <v>723530</v>
      </c>
    </row>
    <row r="9" spans="1:63">
      <c r="A9" s="12">
        <v>2027</v>
      </c>
      <c r="B9" s="12">
        <v>52790</v>
      </c>
      <c r="C9" s="12">
        <v>8410</v>
      </c>
      <c r="D9" s="12">
        <v>82860</v>
      </c>
      <c r="E9" s="12">
        <v>34200</v>
      </c>
      <c r="F9" s="12">
        <v>466090</v>
      </c>
      <c r="G9" s="12">
        <v>64270</v>
      </c>
      <c r="H9" s="12">
        <v>41000</v>
      </c>
      <c r="I9" s="12">
        <v>11180</v>
      </c>
      <c r="J9" s="12">
        <v>5000</v>
      </c>
      <c r="K9" s="12">
        <v>198230</v>
      </c>
      <c r="L9" s="12">
        <v>124370</v>
      </c>
      <c r="M9" s="12">
        <v>14295</v>
      </c>
      <c r="N9" s="12">
        <v>24620</v>
      </c>
      <c r="O9" s="12">
        <v>140800</v>
      </c>
      <c r="P9" s="12">
        <v>79480</v>
      </c>
      <c r="Q9" s="12">
        <v>38880</v>
      </c>
      <c r="R9" s="12">
        <v>37440</v>
      </c>
      <c r="S9" s="12">
        <v>50790</v>
      </c>
      <c r="T9" s="12">
        <v>51840</v>
      </c>
      <c r="U9" s="12">
        <v>14580</v>
      </c>
      <c r="V9" s="12">
        <v>77560</v>
      </c>
      <c r="W9" s="12">
        <v>77350</v>
      </c>
      <c r="X9" s="12">
        <v>102030</v>
      </c>
      <c r="Y9" s="12">
        <v>64270</v>
      </c>
      <c r="Z9" s="12">
        <v>31360</v>
      </c>
      <c r="AA9" s="12">
        <v>72600</v>
      </c>
      <c r="AB9" s="12">
        <v>10360</v>
      </c>
      <c r="AC9" s="12">
        <v>26660</v>
      </c>
      <c r="AD9" s="12">
        <v>34760</v>
      </c>
      <c r="AE9" s="12">
        <v>14170</v>
      </c>
      <c r="AF9" s="12">
        <v>117060</v>
      </c>
      <c r="AG9" s="12">
        <v>21300</v>
      </c>
      <c r="AH9" s="12">
        <v>208110</v>
      </c>
      <c r="AI9" s="12">
        <v>119770</v>
      </c>
      <c r="AJ9" s="12">
        <v>8750</v>
      </c>
      <c r="AK9" s="12">
        <v>132120</v>
      </c>
      <c r="AL9" s="12">
        <v>48740</v>
      </c>
      <c r="AM9" s="12">
        <v>43850</v>
      </c>
      <c r="AN9" s="12">
        <v>145440</v>
      </c>
      <c r="AO9" s="12">
        <v>9610</v>
      </c>
      <c r="AP9" s="12">
        <v>58890</v>
      </c>
      <c r="AQ9" s="12">
        <v>10860</v>
      </c>
      <c r="AR9" s="12">
        <v>73660</v>
      </c>
      <c r="AS9" s="12">
        <v>415050</v>
      </c>
      <c r="AT9" s="12">
        <v>51040</v>
      </c>
      <c r="AU9" s="12">
        <v>6300</v>
      </c>
      <c r="AV9" s="12">
        <v>97800</v>
      </c>
      <c r="AW9" s="12">
        <v>81000</v>
      </c>
      <c r="AX9" s="12">
        <v>17370</v>
      </c>
      <c r="AY9" s="12">
        <v>67980</v>
      </c>
      <c r="AZ9" s="12">
        <v>6080</v>
      </c>
      <c r="BA9" s="12"/>
      <c r="BB9" s="13">
        <v>3853840</v>
      </c>
      <c r="BC9" s="4">
        <f t="shared" si="0"/>
        <v>613645</v>
      </c>
      <c r="BD9" s="4">
        <f t="shared" si="1"/>
        <v>295290</v>
      </c>
      <c r="BE9" s="4">
        <f t="shared" si="2"/>
        <v>259460</v>
      </c>
      <c r="BF9" s="4">
        <f t="shared" si="3"/>
        <v>549830</v>
      </c>
      <c r="BG9" s="4">
        <f t="shared" si="4"/>
        <v>522410</v>
      </c>
      <c r="BH9" s="4">
        <f t="shared" si="5"/>
        <v>208600</v>
      </c>
      <c r="BI9" s="4">
        <f t="shared" si="6"/>
        <v>163010</v>
      </c>
      <c r="BJ9" s="4">
        <f t="shared" si="7"/>
        <v>470610</v>
      </c>
      <c r="BK9" s="4">
        <f t="shared" si="8"/>
        <v>710170</v>
      </c>
    </row>
    <row r="10" spans="1:63">
      <c r="A10" s="12">
        <v>2028</v>
      </c>
      <c r="B10" s="13">
        <v>50800</v>
      </c>
      <c r="C10" s="13">
        <v>8240</v>
      </c>
      <c r="D10" s="13">
        <v>79950</v>
      </c>
      <c r="E10" s="13">
        <v>33310</v>
      </c>
      <c r="F10" s="13">
        <v>473280</v>
      </c>
      <c r="G10" s="13">
        <v>62290</v>
      </c>
      <c r="H10" s="13">
        <v>39500</v>
      </c>
      <c r="I10" s="13">
        <v>11010</v>
      </c>
      <c r="J10" s="13">
        <v>5020</v>
      </c>
      <c r="K10" s="13">
        <v>194540</v>
      </c>
      <c r="L10" s="13">
        <v>119920</v>
      </c>
      <c r="M10" s="13">
        <v>14990</v>
      </c>
      <c r="N10" s="13">
        <v>24150</v>
      </c>
      <c r="O10" s="13">
        <v>136200</v>
      </c>
      <c r="P10" s="13">
        <v>76580</v>
      </c>
      <c r="Q10" s="13">
        <v>38450</v>
      </c>
      <c r="R10" s="13">
        <v>37020</v>
      </c>
      <c r="S10" s="13">
        <v>48760</v>
      </c>
      <c r="T10" s="13">
        <v>50280</v>
      </c>
      <c r="U10" s="13">
        <v>14290</v>
      </c>
      <c r="V10" s="13">
        <v>75980</v>
      </c>
      <c r="W10" s="13">
        <v>75500</v>
      </c>
      <c r="X10" s="13">
        <v>100820</v>
      </c>
      <c r="Y10" s="13">
        <v>63600</v>
      </c>
      <c r="Z10" s="13">
        <v>29310</v>
      </c>
      <c r="AA10" s="13">
        <v>70820</v>
      </c>
      <c r="AB10" s="13">
        <v>10000</v>
      </c>
      <c r="AC10" s="13">
        <v>26200</v>
      </c>
      <c r="AD10" s="13">
        <v>34770</v>
      </c>
      <c r="AE10" s="13">
        <v>13780</v>
      </c>
      <c r="AF10" s="13">
        <v>114020</v>
      </c>
      <c r="AG10" s="13">
        <v>20000</v>
      </c>
      <c r="AH10" s="13">
        <v>204190</v>
      </c>
      <c r="AI10" s="13">
        <v>115690</v>
      </c>
      <c r="AJ10" s="13">
        <v>8690</v>
      </c>
      <c r="AK10" s="13">
        <v>128310</v>
      </c>
      <c r="AL10" s="13">
        <v>46840</v>
      </c>
      <c r="AM10" s="13">
        <v>42920</v>
      </c>
      <c r="AN10" s="13">
        <v>143760</v>
      </c>
      <c r="AO10" s="13">
        <v>9480</v>
      </c>
      <c r="AP10" s="13">
        <v>56210</v>
      </c>
      <c r="AQ10" s="13">
        <v>10750</v>
      </c>
      <c r="AR10" s="13">
        <v>73020</v>
      </c>
      <c r="AS10" s="13">
        <v>401460</v>
      </c>
      <c r="AT10" s="13">
        <v>50530</v>
      </c>
      <c r="AU10" s="13">
        <v>6380</v>
      </c>
      <c r="AV10" s="13">
        <v>95650</v>
      </c>
      <c r="AW10" s="13">
        <v>79350</v>
      </c>
      <c r="AX10" s="13">
        <v>16650</v>
      </c>
      <c r="AY10" s="13">
        <v>65880</v>
      </c>
      <c r="AZ10" s="13">
        <v>5890</v>
      </c>
      <c r="BA10" s="12"/>
      <c r="BB10" s="13">
        <v>3781160</v>
      </c>
      <c r="BC10" s="4">
        <f t="shared" si="0"/>
        <v>618780</v>
      </c>
      <c r="BD10" s="4">
        <f t="shared" si="1"/>
        <v>287580</v>
      </c>
      <c r="BE10" s="4">
        <f t="shared" si="2"/>
        <v>255530</v>
      </c>
      <c r="BF10" s="4">
        <f t="shared" si="3"/>
        <v>531890</v>
      </c>
      <c r="BG10" s="4">
        <f t="shared" si="4"/>
        <v>507790</v>
      </c>
      <c r="BH10" s="4">
        <f t="shared" si="5"/>
        <v>201890</v>
      </c>
      <c r="BI10" s="4">
        <f t="shared" si="6"/>
        <v>158930</v>
      </c>
      <c r="BJ10" s="4">
        <f t="shared" si="7"/>
        <v>461970</v>
      </c>
      <c r="BK10" s="4">
        <f t="shared" si="8"/>
        <v>690670</v>
      </c>
    </row>
  </sheetData>
  <sheetProtection algorithmName="SHA-512" hashValue="AxdYRIH9Sg6PlipOn5tVPVAYxASMR9eCHfKQAn53xsU8xFrhAyX+Srr/2qsrcOkAuxRv6Y4zAA1UhRftRgx0IQ==" saltValue="1Wqaxt0XG9a0EIrUlqCA7A==" spinCount="100000"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E5137-287C-4F19-B3C2-13EA49B726B5}">
  <sheetPr codeName="Sheet13">
    <tabColor theme="2" tint="-0.249977111117893"/>
  </sheetPr>
  <dimension ref="A1"/>
  <sheetViews>
    <sheetView workbookViewId="0">
      <selection activeCell="P40" sqref="P40"/>
    </sheetView>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DEBF5-0D99-49C5-9BBF-75DED43A65BC}">
  <sheetPr codeName="Sheet14">
    <tabColor theme="2" tint="-9.9978637043366805E-2"/>
  </sheetPr>
  <dimension ref="A1"/>
  <sheetViews>
    <sheetView workbookViewId="0">
      <selection activeCell="P40" sqref="P40"/>
    </sheetView>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A4F2C-B436-406A-8AB1-4822DE1EA641}">
  <sheetPr codeName="Sheet15">
    <tabColor theme="5" tint="0.59999389629810485"/>
  </sheetPr>
  <dimension ref="B1:T54"/>
  <sheetViews>
    <sheetView workbookViewId="0">
      <selection activeCell="P40" sqref="P40"/>
    </sheetView>
  </sheetViews>
  <sheetFormatPr defaultRowHeight="15"/>
  <cols>
    <col min="2" max="2" width="23.42578125" bestFit="1" customWidth="1"/>
    <col min="3" max="4" width="14.85546875" bestFit="1" customWidth="1"/>
    <col min="5" max="5" width="14.28515625" bestFit="1" customWidth="1"/>
    <col min="6" max="6" width="28.140625" bestFit="1" customWidth="1"/>
    <col min="7" max="7" width="20" bestFit="1" customWidth="1"/>
    <col min="8" max="8" width="16.85546875" bestFit="1" customWidth="1"/>
  </cols>
  <sheetData>
    <row r="1" spans="2:20">
      <c r="B1" t="s">
        <v>31</v>
      </c>
      <c r="C1">
        <f>'State comparison'!B3</f>
        <v>0.5</v>
      </c>
    </row>
    <row r="2" spans="2:20">
      <c r="B2" t="s">
        <v>128</v>
      </c>
      <c r="C2">
        <f>1-C1</f>
        <v>0.5</v>
      </c>
    </row>
    <row r="4" spans="2:20">
      <c r="B4" s="1" t="s">
        <v>129</v>
      </c>
      <c r="M4" s="1" t="s">
        <v>129</v>
      </c>
      <c r="N4" s="1"/>
      <c r="O4" s="1"/>
      <c r="P4" s="1"/>
      <c r="Q4" s="1"/>
      <c r="R4" s="1"/>
      <c r="S4" s="1"/>
      <c r="T4" s="1"/>
    </row>
    <row r="5" spans="2:20">
      <c r="C5" s="1" t="s">
        <v>130</v>
      </c>
      <c r="D5" s="1" t="s">
        <v>131</v>
      </c>
      <c r="E5" s="1" t="s">
        <v>132</v>
      </c>
      <c r="F5" s="1" t="s">
        <v>133</v>
      </c>
      <c r="G5" s="1" t="s">
        <v>39</v>
      </c>
      <c r="H5" s="1" t="s">
        <v>40</v>
      </c>
      <c r="M5" s="1"/>
      <c r="N5" s="1" t="s">
        <v>132</v>
      </c>
      <c r="O5" s="1" t="s">
        <v>35</v>
      </c>
      <c r="P5" s="1" t="s">
        <v>36</v>
      </c>
      <c r="Q5" s="1" t="s">
        <v>134</v>
      </c>
      <c r="R5" s="1" t="s">
        <v>135</v>
      </c>
      <c r="S5" s="1" t="s">
        <v>136</v>
      </c>
      <c r="T5" s="1" t="s">
        <v>40</v>
      </c>
    </row>
    <row r="6" spans="2:20">
      <c r="B6" s="1">
        <v>2020</v>
      </c>
      <c r="C6" s="2">
        <f>O6</f>
        <v>1682700</v>
      </c>
      <c r="D6" s="2">
        <f>P6</f>
        <v>480270</v>
      </c>
      <c r="E6" s="2">
        <f>N6</f>
        <v>851210</v>
      </c>
      <c r="F6" s="2">
        <f>R6</f>
        <v>207780</v>
      </c>
      <c r="G6" s="2">
        <f>Q6+S6</f>
        <v>169330</v>
      </c>
      <c r="H6" s="2">
        <f>SUM(C6:G6)</f>
        <v>3391290</v>
      </c>
      <c r="M6">
        <v>2020</v>
      </c>
      <c r="N6">
        <v>851210</v>
      </c>
      <c r="O6">
        <v>1682700</v>
      </c>
      <c r="P6">
        <v>480270</v>
      </c>
      <c r="Q6">
        <v>61790</v>
      </c>
      <c r="R6">
        <v>207780</v>
      </c>
      <c r="S6">
        <v>107540</v>
      </c>
      <c r="T6">
        <v>3391290</v>
      </c>
    </row>
    <row r="7" spans="2:20">
      <c r="B7" s="1">
        <v>2021</v>
      </c>
      <c r="C7" s="2">
        <f t="shared" ref="C7:D14" si="0">O7</f>
        <v>1674670</v>
      </c>
      <c r="D7" s="2">
        <f t="shared" si="0"/>
        <v>467980</v>
      </c>
      <c r="E7" s="2">
        <f t="shared" ref="E7:E14" si="1">N7</f>
        <v>869240</v>
      </c>
      <c r="F7" s="2">
        <f t="shared" ref="F7:F14" si="2">R7</f>
        <v>214930</v>
      </c>
      <c r="G7" s="2">
        <f>Q7+S7</f>
        <v>175880</v>
      </c>
      <c r="H7" s="2">
        <f t="shared" ref="H7:H14" si="3">SUM(C7:G7)</f>
        <v>3402700</v>
      </c>
      <c r="M7">
        <v>2021</v>
      </c>
      <c r="N7">
        <v>869240</v>
      </c>
      <c r="O7">
        <v>1674670</v>
      </c>
      <c r="P7">
        <v>467980</v>
      </c>
      <c r="Q7">
        <v>60400</v>
      </c>
      <c r="R7">
        <v>214930</v>
      </c>
      <c r="S7">
        <v>115480</v>
      </c>
      <c r="T7">
        <v>3402700</v>
      </c>
    </row>
    <row r="8" spans="2:20">
      <c r="B8" s="1">
        <v>2022</v>
      </c>
      <c r="C8" s="2">
        <f t="shared" si="0"/>
        <v>1655320</v>
      </c>
      <c r="D8" s="2">
        <f t="shared" si="0"/>
        <v>458630</v>
      </c>
      <c r="E8" s="2">
        <f t="shared" si="1"/>
        <v>883750</v>
      </c>
      <c r="F8" s="2">
        <f t="shared" si="2"/>
        <v>219550</v>
      </c>
      <c r="G8" s="2">
        <f t="shared" ref="G8:G14" si="4">Q8+S8</f>
        <v>186130</v>
      </c>
      <c r="H8" s="2">
        <f t="shared" si="3"/>
        <v>3403380</v>
      </c>
      <c r="M8">
        <v>2022</v>
      </c>
      <c r="N8">
        <v>883750</v>
      </c>
      <c r="O8">
        <v>1655320</v>
      </c>
      <c r="P8">
        <v>458630</v>
      </c>
      <c r="Q8">
        <v>60940</v>
      </c>
      <c r="R8">
        <v>219550</v>
      </c>
      <c r="S8">
        <v>125190</v>
      </c>
      <c r="T8">
        <v>3403380</v>
      </c>
    </row>
    <row r="9" spans="2:20">
      <c r="B9" s="1">
        <v>2023</v>
      </c>
      <c r="C9" s="2">
        <f t="shared" si="0"/>
        <v>1633330</v>
      </c>
      <c r="D9" s="2">
        <f t="shared" si="0"/>
        <v>467350</v>
      </c>
      <c r="E9" s="2">
        <f t="shared" si="1"/>
        <v>924080</v>
      </c>
      <c r="F9" s="2">
        <f t="shared" si="2"/>
        <v>221470</v>
      </c>
      <c r="G9" s="2">
        <f t="shared" si="4"/>
        <v>193740</v>
      </c>
      <c r="H9" s="2">
        <f t="shared" si="3"/>
        <v>3439970</v>
      </c>
      <c r="M9">
        <v>2023</v>
      </c>
      <c r="N9">
        <v>924080</v>
      </c>
      <c r="O9">
        <v>1633330</v>
      </c>
      <c r="P9">
        <v>467350</v>
      </c>
      <c r="Q9">
        <v>59820</v>
      </c>
      <c r="R9">
        <v>221470</v>
      </c>
      <c r="S9">
        <v>133920</v>
      </c>
      <c r="T9">
        <v>3439970</v>
      </c>
    </row>
    <row r="10" spans="2:20">
      <c r="B10" s="1">
        <v>2024</v>
      </c>
      <c r="C10" s="2">
        <f t="shared" si="0"/>
        <v>1631800</v>
      </c>
      <c r="D10" s="2">
        <f t="shared" si="0"/>
        <v>480730</v>
      </c>
      <c r="E10" s="2">
        <f t="shared" si="1"/>
        <v>966930</v>
      </c>
      <c r="F10" s="2">
        <f t="shared" si="2"/>
        <v>223550</v>
      </c>
      <c r="G10" s="2">
        <f t="shared" si="4"/>
        <v>207190</v>
      </c>
      <c r="H10" s="2">
        <f t="shared" si="3"/>
        <v>3510200</v>
      </c>
      <c r="M10">
        <v>2024</v>
      </c>
      <c r="N10">
        <v>966930</v>
      </c>
      <c r="O10">
        <v>1631800</v>
      </c>
      <c r="P10">
        <v>480730</v>
      </c>
      <c r="Q10">
        <v>59910</v>
      </c>
      <c r="R10">
        <v>223550</v>
      </c>
      <c r="S10">
        <v>147280</v>
      </c>
      <c r="T10">
        <v>3510200</v>
      </c>
    </row>
    <row r="11" spans="2:20">
      <c r="B11" s="1">
        <v>2025</v>
      </c>
      <c r="C11" s="2">
        <f t="shared" si="0"/>
        <v>1635360</v>
      </c>
      <c r="D11" s="2">
        <f t="shared" si="0"/>
        <v>493370</v>
      </c>
      <c r="E11" s="2">
        <f t="shared" si="1"/>
        <v>995150</v>
      </c>
      <c r="F11" s="2">
        <f t="shared" si="2"/>
        <v>226710</v>
      </c>
      <c r="G11" s="2">
        <f t="shared" si="4"/>
        <v>220600</v>
      </c>
      <c r="H11" s="2">
        <f t="shared" si="3"/>
        <v>3571190</v>
      </c>
      <c r="M11">
        <v>2025</v>
      </c>
      <c r="N11">
        <v>995150</v>
      </c>
      <c r="O11">
        <v>1635360</v>
      </c>
      <c r="P11">
        <v>493370</v>
      </c>
      <c r="Q11">
        <v>60130</v>
      </c>
      <c r="R11">
        <v>226710</v>
      </c>
      <c r="S11">
        <v>160470</v>
      </c>
      <c r="T11">
        <v>3571190</v>
      </c>
    </row>
    <row r="12" spans="2:20">
      <c r="B12" s="1">
        <v>2026</v>
      </c>
      <c r="C12" s="2">
        <f t="shared" si="0"/>
        <v>1611480</v>
      </c>
      <c r="D12" s="2">
        <f t="shared" si="0"/>
        <v>495220</v>
      </c>
      <c r="E12" s="2">
        <f t="shared" si="1"/>
        <v>1004220</v>
      </c>
      <c r="F12" s="2">
        <f t="shared" si="2"/>
        <v>230520</v>
      </c>
      <c r="G12" s="2">
        <f t="shared" si="4"/>
        <v>228300</v>
      </c>
      <c r="H12" s="2">
        <f t="shared" si="3"/>
        <v>3569740</v>
      </c>
      <c r="M12">
        <v>2026</v>
      </c>
      <c r="N12">
        <v>1004220</v>
      </c>
      <c r="O12">
        <v>1611480</v>
      </c>
      <c r="P12">
        <v>495220</v>
      </c>
      <c r="Q12">
        <v>59380</v>
      </c>
      <c r="R12">
        <v>230520</v>
      </c>
      <c r="S12">
        <v>168920</v>
      </c>
      <c r="T12">
        <v>3569740</v>
      </c>
    </row>
    <row r="13" spans="2:20">
      <c r="B13" s="1">
        <v>2027</v>
      </c>
      <c r="C13" s="2">
        <f t="shared" si="0"/>
        <v>1564100</v>
      </c>
      <c r="D13" s="2">
        <f t="shared" si="0"/>
        <v>485950</v>
      </c>
      <c r="E13" s="2">
        <f t="shared" si="1"/>
        <v>987990</v>
      </c>
      <c r="F13" s="2">
        <f t="shared" si="2"/>
        <v>226100</v>
      </c>
      <c r="G13" s="2">
        <f t="shared" si="4"/>
        <v>229960</v>
      </c>
      <c r="H13" s="2">
        <f t="shared" si="3"/>
        <v>3494100</v>
      </c>
      <c r="M13">
        <v>2027</v>
      </c>
      <c r="N13">
        <v>987990</v>
      </c>
      <c r="O13">
        <v>1564100</v>
      </c>
      <c r="P13">
        <v>485950</v>
      </c>
      <c r="Q13">
        <v>58370</v>
      </c>
      <c r="R13">
        <v>226100</v>
      </c>
      <c r="S13">
        <v>171590</v>
      </c>
      <c r="T13">
        <v>3494100</v>
      </c>
    </row>
    <row r="14" spans="2:20">
      <c r="B14" s="1">
        <v>2028</v>
      </c>
      <c r="C14" s="2">
        <f t="shared" si="0"/>
        <v>1524270</v>
      </c>
      <c r="D14" s="2">
        <f t="shared" si="0"/>
        <v>467020</v>
      </c>
      <c r="E14" s="2">
        <f t="shared" si="1"/>
        <v>969590</v>
      </c>
      <c r="F14" s="2">
        <f t="shared" si="2"/>
        <v>232140</v>
      </c>
      <c r="G14" s="2">
        <f t="shared" si="4"/>
        <v>232400</v>
      </c>
      <c r="H14" s="2">
        <f t="shared" si="3"/>
        <v>3425420</v>
      </c>
      <c r="M14">
        <v>2028</v>
      </c>
      <c r="N14">
        <v>969590</v>
      </c>
      <c r="O14">
        <v>1524270</v>
      </c>
      <c r="P14">
        <v>467020</v>
      </c>
      <c r="Q14">
        <v>55380</v>
      </c>
      <c r="R14">
        <v>232140</v>
      </c>
      <c r="S14">
        <v>177020</v>
      </c>
      <c r="T14">
        <v>3425420</v>
      </c>
    </row>
    <row r="16" spans="2:20">
      <c r="B16" s="1" t="s">
        <v>137</v>
      </c>
    </row>
    <row r="17" spans="2:8">
      <c r="C17" s="1" t="s">
        <v>130</v>
      </c>
      <c r="D17" s="1" t="s">
        <v>131</v>
      </c>
      <c r="E17" s="1" t="s">
        <v>132</v>
      </c>
      <c r="F17" s="1" t="s">
        <v>133</v>
      </c>
      <c r="G17" s="1" t="s">
        <v>39</v>
      </c>
      <c r="H17" s="1" t="s">
        <v>40</v>
      </c>
    </row>
    <row r="18" spans="2:8">
      <c r="B18" s="1">
        <v>2020</v>
      </c>
      <c r="C18" s="2">
        <v>1550316.3080000002</v>
      </c>
      <c r="D18" s="2">
        <v>307567.23829999997</v>
      </c>
      <c r="E18" s="2">
        <v>579542.44709999999</v>
      </c>
      <c r="F18" s="2">
        <v>168253.64380000002</v>
      </c>
      <c r="G18" s="2">
        <v>109812.45819999999</v>
      </c>
      <c r="H18" s="2">
        <f>SUM(C18:G18)</f>
        <v>2715492.0954</v>
      </c>
    </row>
    <row r="19" spans="2:8">
      <c r="B19" s="1">
        <v>2021</v>
      </c>
      <c r="C19" s="2">
        <v>1517080.3019999999</v>
      </c>
      <c r="D19" s="2">
        <v>301773.78549999994</v>
      </c>
      <c r="E19" s="2">
        <v>581467.46169999987</v>
      </c>
      <c r="F19" s="2">
        <v>169464.53</v>
      </c>
      <c r="G19" s="2">
        <v>117114.9378</v>
      </c>
      <c r="H19" s="2">
        <f t="shared" ref="H19:H26" si="5">SUM(C19:G19)</f>
        <v>2686901.0169999995</v>
      </c>
    </row>
    <row r="20" spans="2:8">
      <c r="B20" s="1">
        <v>2022</v>
      </c>
      <c r="C20" s="2">
        <v>1538085.5430000003</v>
      </c>
      <c r="D20" s="2">
        <v>306406.07629999984</v>
      </c>
      <c r="E20" s="2">
        <v>612879.39729999995</v>
      </c>
      <c r="F20" s="2">
        <v>181675.7004</v>
      </c>
      <c r="G20" s="2">
        <v>121558.2409</v>
      </c>
      <c r="H20" s="2">
        <f t="shared" si="5"/>
        <v>2760604.9579000003</v>
      </c>
    </row>
    <row r="21" spans="2:8">
      <c r="B21" s="1">
        <v>2023</v>
      </c>
      <c r="C21" s="2">
        <v>1526036.3079999997</v>
      </c>
      <c r="D21" s="2">
        <v>304545.10609999992</v>
      </c>
      <c r="E21" s="2">
        <v>620698.22820000013</v>
      </c>
      <c r="F21" s="2">
        <v>181085.07470000003</v>
      </c>
      <c r="G21" s="2">
        <v>125631.12539999999</v>
      </c>
      <c r="H21" s="2">
        <f t="shared" si="5"/>
        <v>2757995.8424</v>
      </c>
    </row>
    <row r="22" spans="2:8">
      <c r="B22" s="1">
        <v>2024</v>
      </c>
      <c r="C22" s="2">
        <v>1498059.1459999999</v>
      </c>
      <c r="D22" s="2">
        <v>310475.09960000002</v>
      </c>
      <c r="E22" s="2">
        <v>663021.5845</v>
      </c>
      <c r="F22" s="2">
        <v>179526.1323</v>
      </c>
      <c r="G22" s="2">
        <v>129368.92679999999</v>
      </c>
      <c r="H22" s="2">
        <f t="shared" si="5"/>
        <v>2780450.8892000001</v>
      </c>
    </row>
    <row r="23" spans="2:8">
      <c r="B23" s="1">
        <v>2025</v>
      </c>
      <c r="C23" s="2">
        <v>1516998.8660000002</v>
      </c>
      <c r="D23" s="2">
        <v>326286.28029999998</v>
      </c>
      <c r="E23" s="2">
        <v>702751.87509999995</v>
      </c>
      <c r="F23" s="2">
        <v>186513.94761999999</v>
      </c>
      <c r="G23" s="2">
        <v>142293.90930000003</v>
      </c>
      <c r="H23" s="2">
        <f t="shared" si="5"/>
        <v>2874844.8783199997</v>
      </c>
    </row>
    <row r="24" spans="2:8">
      <c r="B24" s="1">
        <v>2026</v>
      </c>
      <c r="C24" s="2">
        <v>1468454.2560000005</v>
      </c>
      <c r="D24" s="2">
        <v>306114.87710000016</v>
      </c>
      <c r="E24" s="2">
        <v>719781.67759999982</v>
      </c>
      <c r="F24" s="2">
        <v>180772.01459999999</v>
      </c>
      <c r="G24" s="2">
        <v>146356.93989999997</v>
      </c>
      <c r="H24" s="2">
        <f t="shared" si="5"/>
        <v>2821479.7652000003</v>
      </c>
    </row>
    <row r="25" spans="2:8">
      <c r="B25" s="1">
        <v>2027</v>
      </c>
      <c r="C25" s="2">
        <v>1427546.6190000002</v>
      </c>
      <c r="D25" s="2">
        <v>304567.5322999999</v>
      </c>
      <c r="E25" s="2">
        <v>691447.58679999993</v>
      </c>
      <c r="F25" s="2">
        <v>182457.96740999998</v>
      </c>
      <c r="G25" s="2">
        <v>134154.47150000001</v>
      </c>
      <c r="H25" s="2">
        <f t="shared" si="5"/>
        <v>2740174.1770099998</v>
      </c>
    </row>
    <row r="26" spans="2:8">
      <c r="B26" s="1">
        <v>2028</v>
      </c>
      <c r="C26" s="2">
        <v>1371287.1340000005</v>
      </c>
      <c r="D26" s="2">
        <v>284181.04610000004</v>
      </c>
      <c r="E26" s="2">
        <v>634843.26370000013</v>
      </c>
      <c r="F26" s="2">
        <v>182976.96470000004</v>
      </c>
      <c r="G26" s="2">
        <v>138790.92939999996</v>
      </c>
      <c r="H26" s="2">
        <f t="shared" si="5"/>
        <v>2612079.3379000002</v>
      </c>
    </row>
    <row r="28" spans="2:8">
      <c r="B28" s="1" t="s">
        <v>138</v>
      </c>
    </row>
    <row r="29" spans="2:8">
      <c r="C29" s="1" t="s">
        <v>130</v>
      </c>
      <c r="D29" s="1" t="s">
        <v>131</v>
      </c>
      <c r="E29" s="1" t="s">
        <v>132</v>
      </c>
      <c r="F29" s="1" t="s">
        <v>133</v>
      </c>
      <c r="G29" s="1" t="s">
        <v>39</v>
      </c>
      <c r="H29" s="1" t="s">
        <v>40</v>
      </c>
    </row>
    <row r="30" spans="2:8">
      <c r="B30" s="1">
        <v>2020</v>
      </c>
      <c r="C30" s="51">
        <f>C6*$C$1+C18*$C$2</f>
        <v>1616508.1540000001</v>
      </c>
      <c r="D30" s="51">
        <f t="shared" ref="C30:G38" si="6">D6*$C$1+D18*$C$2</f>
        <v>393918.61914999998</v>
      </c>
      <c r="E30" s="51">
        <f t="shared" si="6"/>
        <v>715376.22355</v>
      </c>
      <c r="F30" s="51">
        <f t="shared" si="6"/>
        <v>188016.82190000001</v>
      </c>
      <c r="G30" s="51">
        <f t="shared" si="6"/>
        <v>139571.2291</v>
      </c>
      <c r="H30" s="51">
        <f>SUM(C30:G30)</f>
        <v>3053391.0477</v>
      </c>
    </row>
    <row r="31" spans="2:8">
      <c r="B31" s="1">
        <v>2021</v>
      </c>
      <c r="C31" s="51">
        <f>C7*$C$1+C19*$C$2</f>
        <v>1595875.1510000001</v>
      </c>
      <c r="D31" s="51">
        <f t="shared" si="6"/>
        <v>384876.89275</v>
      </c>
      <c r="E31" s="51">
        <f t="shared" si="6"/>
        <v>725353.73084999993</v>
      </c>
      <c r="F31" s="51">
        <f t="shared" si="6"/>
        <v>192197.26500000001</v>
      </c>
      <c r="G31" s="51">
        <f t="shared" si="6"/>
        <v>146497.46890000001</v>
      </c>
      <c r="H31" s="51">
        <f t="shared" ref="H31:H38" si="7">SUM(C31:G31)</f>
        <v>3044800.5085000005</v>
      </c>
    </row>
    <row r="32" spans="2:8">
      <c r="B32" s="1">
        <v>2022</v>
      </c>
      <c r="C32" s="51">
        <f>C8*$C$1+C20*$C$2</f>
        <v>1596702.7715000003</v>
      </c>
      <c r="D32" s="51">
        <f t="shared" si="6"/>
        <v>382518.03814999992</v>
      </c>
      <c r="E32" s="51">
        <f t="shared" si="6"/>
        <v>748314.69864999992</v>
      </c>
      <c r="F32" s="51">
        <f t="shared" si="6"/>
        <v>200612.85019999999</v>
      </c>
      <c r="G32" s="51">
        <f t="shared" si="6"/>
        <v>153844.12044999999</v>
      </c>
      <c r="H32" s="51">
        <f t="shared" si="7"/>
        <v>3081992.4789499999</v>
      </c>
    </row>
    <row r="33" spans="2:8">
      <c r="B33" s="1">
        <v>2023</v>
      </c>
      <c r="C33" s="51">
        <f>C9*$C$1+C21*$C$2</f>
        <v>1579683.1539999999</v>
      </c>
      <c r="D33" s="51">
        <f t="shared" si="6"/>
        <v>385947.55304999999</v>
      </c>
      <c r="E33" s="51">
        <f t="shared" si="6"/>
        <v>772389.11410000012</v>
      </c>
      <c r="F33" s="51">
        <f t="shared" si="6"/>
        <v>201277.53735</v>
      </c>
      <c r="G33" s="51">
        <f t="shared" si="6"/>
        <v>159685.56270000001</v>
      </c>
      <c r="H33" s="51">
        <f t="shared" si="7"/>
        <v>3098982.9212000002</v>
      </c>
    </row>
    <row r="34" spans="2:8">
      <c r="B34" s="1">
        <v>2024</v>
      </c>
      <c r="C34" s="51">
        <f t="shared" si="6"/>
        <v>1564929.5729999999</v>
      </c>
      <c r="D34" s="51">
        <f t="shared" si="6"/>
        <v>395602.54980000004</v>
      </c>
      <c r="E34" s="51">
        <f t="shared" si="6"/>
        <v>814975.79224999994</v>
      </c>
      <c r="F34" s="51">
        <f t="shared" si="6"/>
        <v>201538.06615</v>
      </c>
      <c r="G34" s="51">
        <f t="shared" si="6"/>
        <v>168279.46340000001</v>
      </c>
      <c r="H34" s="51">
        <f t="shared" si="7"/>
        <v>3145325.4446</v>
      </c>
    </row>
    <row r="35" spans="2:8">
      <c r="B35" s="1">
        <v>2025</v>
      </c>
      <c r="C35" s="51">
        <f t="shared" si="6"/>
        <v>1576179.4330000002</v>
      </c>
      <c r="D35" s="51">
        <f t="shared" si="6"/>
        <v>409828.14014999999</v>
      </c>
      <c r="E35" s="51">
        <f t="shared" si="6"/>
        <v>848950.93754999992</v>
      </c>
      <c r="F35" s="51">
        <f t="shared" si="6"/>
        <v>206611.97381</v>
      </c>
      <c r="G35" s="51">
        <f t="shared" si="6"/>
        <v>181446.95465000003</v>
      </c>
      <c r="H35" s="51">
        <f t="shared" si="7"/>
        <v>3223017.4391600001</v>
      </c>
    </row>
    <row r="36" spans="2:8">
      <c r="B36" s="1">
        <v>2026</v>
      </c>
      <c r="C36" s="51">
        <f t="shared" si="6"/>
        <v>1539967.1280000003</v>
      </c>
      <c r="D36" s="51">
        <f t="shared" si="6"/>
        <v>400667.43855000008</v>
      </c>
      <c r="E36" s="51">
        <f t="shared" si="6"/>
        <v>862000.83879999991</v>
      </c>
      <c r="F36" s="51">
        <f t="shared" si="6"/>
        <v>205646.0073</v>
      </c>
      <c r="G36" s="51">
        <f t="shared" si="6"/>
        <v>187328.46995</v>
      </c>
      <c r="H36" s="51">
        <f t="shared" si="7"/>
        <v>3195609.8826000001</v>
      </c>
    </row>
    <row r="37" spans="2:8">
      <c r="B37" s="1">
        <v>2027</v>
      </c>
      <c r="C37" s="51">
        <f t="shared" si="6"/>
        <v>1495823.3095</v>
      </c>
      <c r="D37" s="51">
        <f t="shared" si="6"/>
        <v>395258.76614999992</v>
      </c>
      <c r="E37" s="51">
        <f t="shared" si="6"/>
        <v>839718.79339999997</v>
      </c>
      <c r="F37" s="51">
        <f t="shared" si="6"/>
        <v>204278.98370499999</v>
      </c>
      <c r="G37" s="51">
        <f t="shared" si="6"/>
        <v>182057.23574999999</v>
      </c>
      <c r="H37" s="51">
        <f t="shared" si="7"/>
        <v>3117137.0885049999</v>
      </c>
    </row>
    <row r="38" spans="2:8">
      <c r="B38" s="1">
        <v>2028</v>
      </c>
      <c r="C38" s="51">
        <f t="shared" si="6"/>
        <v>1447778.5670000003</v>
      </c>
      <c r="D38" s="51">
        <f t="shared" si="6"/>
        <v>375600.52305000002</v>
      </c>
      <c r="E38" s="51">
        <f t="shared" si="6"/>
        <v>802216.63185000001</v>
      </c>
      <c r="F38" s="51">
        <f t="shared" si="6"/>
        <v>207558.48235000001</v>
      </c>
      <c r="G38" s="51">
        <f t="shared" si="6"/>
        <v>185595.46469999998</v>
      </c>
      <c r="H38" s="51">
        <f t="shared" si="7"/>
        <v>3018749.6689500003</v>
      </c>
    </row>
    <row r="39" spans="2:8">
      <c r="B39" s="1" t="s">
        <v>139</v>
      </c>
      <c r="C39" s="51">
        <f>C38-C30</f>
        <v>-168729.58699999982</v>
      </c>
      <c r="D39" s="51">
        <f t="shared" ref="D39:H39" si="8">D38-D30</f>
        <v>-18318.096099999966</v>
      </c>
      <c r="E39" s="51">
        <f t="shared" si="8"/>
        <v>86840.40830000001</v>
      </c>
      <c r="F39" s="51">
        <f t="shared" si="8"/>
        <v>19541.660449999996</v>
      </c>
      <c r="G39" s="51">
        <f t="shared" si="8"/>
        <v>46024.235599999985</v>
      </c>
      <c r="H39" s="51">
        <f t="shared" si="8"/>
        <v>-34641.378749999683</v>
      </c>
    </row>
    <row r="40" spans="2:8">
      <c r="B40" s="1" t="s">
        <v>140</v>
      </c>
      <c r="C40" s="52">
        <f>(C38-C30)/C30</f>
        <v>-0.10437905097013189</v>
      </c>
      <c r="D40" s="52">
        <f t="shared" ref="D40:G40" si="9">(D38-D30)/D30</f>
        <v>-4.6502234749722843E-2</v>
      </c>
      <c r="E40" s="52">
        <f t="shared" si="9"/>
        <v>0.12139124203633873</v>
      </c>
      <c r="F40" s="52">
        <f t="shared" si="9"/>
        <v>0.10393570241493373</v>
      </c>
      <c r="G40" s="52">
        <f t="shared" si="9"/>
        <v>0.32975446226832711</v>
      </c>
      <c r="H40" s="53">
        <f>(H38-H30)/H30</f>
        <v>-1.1345215273390443E-2</v>
      </c>
    </row>
    <row r="42" spans="2:8">
      <c r="B42" s="1" t="s">
        <v>141</v>
      </c>
    </row>
    <row r="43" spans="2:8">
      <c r="C43" s="1" t="s">
        <v>130</v>
      </c>
      <c r="D43" s="1" t="s">
        <v>131</v>
      </c>
      <c r="E43" s="1" t="s">
        <v>132</v>
      </c>
      <c r="F43" s="1" t="s">
        <v>133</v>
      </c>
      <c r="G43" s="1" t="s">
        <v>39</v>
      </c>
      <c r="H43" s="1" t="s">
        <v>40</v>
      </c>
    </row>
    <row r="44" spans="2:8">
      <c r="B44" s="1">
        <v>2020</v>
      </c>
      <c r="C44" s="52">
        <f>C30/$H30</f>
        <v>0.52941406087427045</v>
      </c>
      <c r="D44" s="52">
        <f t="shared" ref="D44:G44" si="10">D30/$H30</f>
        <v>0.12901020963126339</v>
      </c>
      <c r="E44" s="52">
        <f t="shared" si="10"/>
        <v>0.23428909444431131</v>
      </c>
      <c r="F44" s="52">
        <f t="shared" si="10"/>
        <v>6.1576397835326639E-2</v>
      </c>
      <c r="G44" s="52">
        <f t="shared" si="10"/>
        <v>4.571023721482826E-2</v>
      </c>
      <c r="H44" s="52">
        <f>SUM(C44:G44)</f>
        <v>1.0000000000000002</v>
      </c>
    </row>
    <row r="45" spans="2:8">
      <c r="B45" s="1">
        <v>2021</v>
      </c>
      <c r="C45" s="52">
        <f t="shared" ref="C45:G52" si="11">C31/$H31</f>
        <v>0.5241312678925546</v>
      </c>
      <c r="D45" s="52">
        <f t="shared" si="11"/>
        <v>0.12640463362888982</v>
      </c>
      <c r="E45" s="52">
        <f t="shared" si="11"/>
        <v>0.23822701317379258</v>
      </c>
      <c r="F45" s="52">
        <f t="shared" si="11"/>
        <v>6.312310591891114E-2</v>
      </c>
      <c r="G45" s="52">
        <f t="shared" si="11"/>
        <v>4.8113979385851768E-2</v>
      </c>
      <c r="H45" s="52">
        <f t="shared" ref="H45:H52" si="12">SUM(C45:G45)</f>
        <v>1</v>
      </c>
    </row>
    <row r="46" spans="2:8">
      <c r="B46" s="1">
        <v>2022</v>
      </c>
      <c r="C46" s="52">
        <f t="shared" si="11"/>
        <v>0.5180748435972754</v>
      </c>
      <c r="D46" s="52">
        <f t="shared" si="11"/>
        <v>0.12411387787692445</v>
      </c>
      <c r="E46" s="52">
        <f t="shared" si="11"/>
        <v>0.24280224684550247</v>
      </c>
      <c r="F46" s="52">
        <f t="shared" si="11"/>
        <v>6.5091933731242113E-2</v>
      </c>
      <c r="G46" s="52">
        <f t="shared" si="11"/>
        <v>4.9917097949055654E-2</v>
      </c>
      <c r="H46" s="52">
        <f t="shared" si="12"/>
        <v>1</v>
      </c>
    </row>
    <row r="47" spans="2:8">
      <c r="B47" s="1">
        <v>2023</v>
      </c>
      <c r="C47" s="52">
        <f t="shared" si="11"/>
        <v>0.50974245233604221</v>
      </c>
      <c r="D47" s="52">
        <f t="shared" si="11"/>
        <v>0.12454007100515155</v>
      </c>
      <c r="E47" s="52">
        <f t="shared" si="11"/>
        <v>0.24923955173038276</v>
      </c>
      <c r="F47" s="52">
        <f t="shared" si="11"/>
        <v>6.4949547147572062E-2</v>
      </c>
      <c r="G47" s="52">
        <f t="shared" si="11"/>
        <v>5.1528377780851384E-2</v>
      </c>
      <c r="H47" s="52">
        <f t="shared" si="12"/>
        <v>0.99999999999999989</v>
      </c>
    </row>
    <row r="48" spans="2:8">
      <c r="B48" s="1">
        <v>2024</v>
      </c>
      <c r="C48" s="52">
        <f t="shared" si="11"/>
        <v>0.49754138341605425</v>
      </c>
      <c r="D48" s="52">
        <f t="shared" si="11"/>
        <v>0.12577475900917781</v>
      </c>
      <c r="E48" s="52">
        <f t="shared" si="11"/>
        <v>0.25910698482701611</v>
      </c>
      <c r="F48" s="52">
        <f t="shared" si="11"/>
        <v>6.4075425484509813E-2</v>
      </c>
      <c r="G48" s="52">
        <f t="shared" si="11"/>
        <v>5.350144726324197E-2</v>
      </c>
      <c r="H48" s="52">
        <f t="shared" si="12"/>
        <v>1</v>
      </c>
    </row>
    <row r="49" spans="2:8">
      <c r="B49" s="1">
        <v>2025</v>
      </c>
      <c r="C49" s="52">
        <f t="shared" si="11"/>
        <v>0.48903844386606621</v>
      </c>
      <c r="D49" s="52">
        <f t="shared" si="11"/>
        <v>0.12715666231604741</v>
      </c>
      <c r="E49" s="52">
        <f t="shared" si="11"/>
        <v>0.26340252684802662</v>
      </c>
      <c r="F49" s="52">
        <f t="shared" si="11"/>
        <v>6.4105136788787681E-2</v>
      </c>
      <c r="G49" s="52">
        <f t="shared" si="11"/>
        <v>5.6297230181072092E-2</v>
      </c>
      <c r="H49" s="52">
        <f t="shared" si="12"/>
        <v>1</v>
      </c>
    </row>
    <row r="50" spans="2:8">
      <c r="B50" s="1">
        <v>2026</v>
      </c>
      <c r="C50" s="52">
        <f t="shared" si="11"/>
        <v>0.4819008529123267</v>
      </c>
      <c r="D50" s="52">
        <f t="shared" si="11"/>
        <v>0.12538058563769697</v>
      </c>
      <c r="E50" s="52">
        <f t="shared" si="11"/>
        <v>0.26974532889435865</v>
      </c>
      <c r="F50" s="52">
        <f t="shared" si="11"/>
        <v>6.4352663452362041E-2</v>
      </c>
      <c r="G50" s="52">
        <f t="shared" si="11"/>
        <v>5.8620569103255658E-2</v>
      </c>
      <c r="H50" s="52">
        <f t="shared" si="12"/>
        <v>1</v>
      </c>
    </row>
    <row r="51" spans="2:8">
      <c r="B51" s="1">
        <v>2027</v>
      </c>
      <c r="C51" s="52">
        <f t="shared" si="11"/>
        <v>0.47987087735605721</v>
      </c>
      <c r="D51" s="52">
        <f t="shared" si="11"/>
        <v>0.12680185533308344</v>
      </c>
      <c r="E51" s="52">
        <f t="shared" si="11"/>
        <v>0.26938782913867121</v>
      </c>
      <c r="F51" s="52">
        <f t="shared" si="11"/>
        <v>6.5534167380162794E-2</v>
      </c>
      <c r="G51" s="52">
        <f t="shared" si="11"/>
        <v>5.8405270792025343E-2</v>
      </c>
      <c r="H51" s="52">
        <f t="shared" si="12"/>
        <v>1</v>
      </c>
    </row>
    <row r="52" spans="2:8">
      <c r="B52" s="1">
        <v>2028</v>
      </c>
      <c r="C52" s="52">
        <f>C38/$H38</f>
        <v>0.4795954371080976</v>
      </c>
      <c r="D52" s="52">
        <f t="shared" si="11"/>
        <v>0.12442254716027634</v>
      </c>
      <c r="E52" s="52">
        <f t="shared" si="11"/>
        <v>0.26574466909309236</v>
      </c>
      <c r="F52" s="52">
        <f t="shared" si="11"/>
        <v>6.8756440616751846E-2</v>
      </c>
      <c r="G52" s="52">
        <f t="shared" si="11"/>
        <v>6.1480906021781828E-2</v>
      </c>
      <c r="H52" s="52">
        <f t="shared" si="12"/>
        <v>1</v>
      </c>
    </row>
    <row r="54" spans="2:8">
      <c r="B54" t="s">
        <v>142</v>
      </c>
      <c r="C54" s="23">
        <f>C52-C44</f>
        <v>-4.9818623766172854E-2</v>
      </c>
      <c r="D54" s="23">
        <f t="shared" ref="D54:G54" si="13">D52-D44</f>
        <v>-4.5876624709870473E-3</v>
      </c>
      <c r="E54" s="23">
        <f t="shared" si="13"/>
        <v>3.1455574648781043E-2</v>
      </c>
      <c r="F54" s="23">
        <f t="shared" si="13"/>
        <v>7.1800427814252069E-3</v>
      </c>
      <c r="G54" s="23">
        <f t="shared" si="13"/>
        <v>1.5770668806953568E-2</v>
      </c>
    </row>
  </sheetData>
  <sheetProtection algorithmName="SHA-512" hashValue="Ml3lwv1lU6rxH6u4DoPy8xDwtoPAAH5VWsf+nN33cV9EaTGdOsVyuWkRmofZoMsaVGSpYz6Q7kxraj7kJmBKew==" saltValue="KrJ8eVFpZHzO68qI24IQ2g==" spinCount="100000" sheet="1" objects="1" scenarios="1" selectLockedCells="1" selectUnlockedCells="1"/>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7837B-46BB-4261-9D2A-74EA814D517B}">
  <sheetPr codeName="Sheet16">
    <tabColor theme="0" tint="-0.14999847407452621"/>
  </sheetPr>
  <dimension ref="A1"/>
  <sheetViews>
    <sheetView workbookViewId="0">
      <selection activeCell="AG33" sqref="AG33"/>
    </sheetView>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C93C-D108-423A-B0BC-E9BCBF456D6F}">
  <sheetPr codeName="Sheet17"/>
  <dimension ref="A1:BJ10"/>
  <sheetViews>
    <sheetView topLeftCell="AE1" workbookViewId="0">
      <selection activeCell="BA1" sqref="BA1:BJ1"/>
    </sheetView>
  </sheetViews>
  <sheetFormatPr defaultRowHeight="15"/>
  <cols>
    <col min="62" max="62" width="12.5703125" bestFit="1" customWidth="1"/>
  </cols>
  <sheetData>
    <row r="1" spans="1:62">
      <c r="A1" s="1" t="s">
        <v>113</v>
      </c>
      <c r="B1" s="1" t="s">
        <v>1</v>
      </c>
      <c r="C1" s="1" t="s">
        <v>107</v>
      </c>
      <c r="D1" s="1" t="s">
        <v>98</v>
      </c>
      <c r="E1" s="1" t="s">
        <v>93</v>
      </c>
      <c r="F1" s="1" t="s">
        <v>109</v>
      </c>
      <c r="G1" s="1" t="s">
        <v>100</v>
      </c>
      <c r="H1" s="1" t="s">
        <v>54</v>
      </c>
      <c r="I1" s="1" t="s">
        <v>79</v>
      </c>
      <c r="J1" s="1" t="s">
        <v>87</v>
      </c>
      <c r="K1" s="1" t="s">
        <v>81</v>
      </c>
      <c r="L1" s="1" t="s">
        <v>82</v>
      </c>
      <c r="M1" s="1" t="s">
        <v>110</v>
      </c>
      <c r="N1" s="1" t="s">
        <v>101</v>
      </c>
      <c r="O1" s="1" t="s">
        <v>65</v>
      </c>
      <c r="P1" s="1" t="s">
        <v>67</v>
      </c>
      <c r="Q1" s="1" t="s">
        <v>71</v>
      </c>
      <c r="R1" s="1" t="s">
        <v>73</v>
      </c>
      <c r="S1" s="1" t="s">
        <v>90</v>
      </c>
      <c r="T1" s="1" t="s">
        <v>95</v>
      </c>
      <c r="U1" s="1" t="s">
        <v>56</v>
      </c>
      <c r="V1" s="1" t="s">
        <v>83</v>
      </c>
      <c r="W1" s="1" t="s">
        <v>57</v>
      </c>
      <c r="X1" s="1" t="s">
        <v>68</v>
      </c>
      <c r="Y1" s="1" t="s">
        <v>74</v>
      </c>
      <c r="Z1" s="1" t="s">
        <v>91</v>
      </c>
      <c r="AA1" s="1" t="s">
        <v>75</v>
      </c>
      <c r="AB1" s="1" t="s">
        <v>102</v>
      </c>
      <c r="AC1" s="1" t="s">
        <v>76</v>
      </c>
      <c r="AD1" s="1" t="s">
        <v>103</v>
      </c>
      <c r="AE1" s="1" t="s">
        <v>58</v>
      </c>
      <c r="AF1" s="1" t="s">
        <v>61</v>
      </c>
      <c r="AG1" s="1" t="s">
        <v>104</v>
      </c>
      <c r="AH1" s="1" t="s">
        <v>63</v>
      </c>
      <c r="AI1" s="1" t="s">
        <v>84</v>
      </c>
      <c r="AJ1" s="1" t="s">
        <v>77</v>
      </c>
      <c r="AK1" s="1" t="s">
        <v>69</v>
      </c>
      <c r="AL1" s="1" t="s">
        <v>96</v>
      </c>
      <c r="AM1" s="1" t="s">
        <v>111</v>
      </c>
      <c r="AN1" s="1" t="s">
        <v>64</v>
      </c>
      <c r="AO1" s="1" t="s">
        <v>59</v>
      </c>
      <c r="AP1" s="1" t="s">
        <v>85</v>
      </c>
      <c r="AQ1" s="1" t="s">
        <v>78</v>
      </c>
      <c r="AR1" s="1" t="s">
        <v>92</v>
      </c>
      <c r="AS1" s="1" t="s">
        <v>97</v>
      </c>
      <c r="AT1" s="1" t="s">
        <v>105</v>
      </c>
      <c r="AU1" s="1" t="s">
        <v>60</v>
      </c>
      <c r="AV1" s="1" t="s">
        <v>86</v>
      </c>
      <c r="AW1" s="1" t="s">
        <v>112</v>
      </c>
      <c r="AX1" s="1" t="s">
        <v>88</v>
      </c>
      <c r="AY1" s="1" t="s">
        <v>70</v>
      </c>
      <c r="AZ1" s="1" t="s">
        <v>106</v>
      </c>
      <c r="BA1" s="1" t="s">
        <v>40</v>
      </c>
      <c r="BB1" s="1" t="s">
        <v>108</v>
      </c>
      <c r="BC1" s="1" t="s">
        <v>99</v>
      </c>
      <c r="BD1" s="1" t="s">
        <v>72</v>
      </c>
      <c r="BE1" s="1" t="s">
        <v>94</v>
      </c>
      <c r="BF1" s="1" t="s">
        <v>66</v>
      </c>
      <c r="BG1" s="1" t="s">
        <v>89</v>
      </c>
      <c r="BH1" s="1" t="s">
        <v>55</v>
      </c>
      <c r="BI1" s="1" t="s">
        <v>62</v>
      </c>
      <c r="BJ1" s="1" t="s">
        <v>80</v>
      </c>
    </row>
    <row r="2" spans="1:62" ht="18">
      <c r="A2" s="1">
        <v>2020</v>
      </c>
      <c r="B2">
        <v>26920</v>
      </c>
      <c r="C2">
        <v>3900</v>
      </c>
      <c r="D2">
        <v>29580</v>
      </c>
      <c r="E2">
        <v>20630</v>
      </c>
      <c r="F2">
        <v>103300</v>
      </c>
      <c r="G2">
        <v>32310</v>
      </c>
      <c r="H2">
        <v>21600</v>
      </c>
      <c r="I2">
        <v>4250</v>
      </c>
      <c r="J2">
        <v>350</v>
      </c>
      <c r="K2">
        <v>72100</v>
      </c>
      <c r="L2">
        <v>46870</v>
      </c>
      <c r="M2">
        <v>1690</v>
      </c>
      <c r="N2">
        <v>15190</v>
      </c>
      <c r="O2">
        <v>69410</v>
      </c>
      <c r="P2">
        <v>49530</v>
      </c>
      <c r="Q2">
        <v>26420</v>
      </c>
      <c r="R2">
        <v>21720</v>
      </c>
      <c r="S2">
        <v>35270</v>
      </c>
      <c r="T2">
        <v>20250</v>
      </c>
      <c r="U2">
        <v>10590</v>
      </c>
      <c r="V2">
        <v>23810</v>
      </c>
      <c r="W2">
        <v>43710</v>
      </c>
      <c r="X2">
        <v>4490</v>
      </c>
      <c r="Y2">
        <v>42170</v>
      </c>
      <c r="Z2">
        <v>13080</v>
      </c>
      <c r="AA2">
        <v>44710</v>
      </c>
      <c r="AB2">
        <v>7550</v>
      </c>
      <c r="AC2">
        <v>15120</v>
      </c>
      <c r="AD2">
        <v>9690</v>
      </c>
      <c r="AE2">
        <v>11410</v>
      </c>
      <c r="AF2">
        <v>46540</v>
      </c>
      <c r="AG2">
        <v>4720</v>
      </c>
      <c r="AH2">
        <v>85440</v>
      </c>
      <c r="AI2">
        <v>54160</v>
      </c>
      <c r="AJ2">
        <v>5510</v>
      </c>
      <c r="AK2">
        <v>88940</v>
      </c>
      <c r="AL2">
        <v>21710</v>
      </c>
      <c r="AM2">
        <v>23940</v>
      </c>
      <c r="AN2">
        <v>85510</v>
      </c>
      <c r="AO2">
        <v>5770</v>
      </c>
      <c r="AP2">
        <v>26580</v>
      </c>
      <c r="AQ2">
        <v>6820</v>
      </c>
      <c r="AR2" s="74">
        <v>41820</v>
      </c>
      <c r="AS2">
        <v>104430</v>
      </c>
      <c r="AT2">
        <v>32620</v>
      </c>
      <c r="AU2">
        <v>5110</v>
      </c>
      <c r="AV2">
        <v>44760</v>
      </c>
      <c r="AW2">
        <v>40140</v>
      </c>
      <c r="AX2">
        <v>6210</v>
      </c>
      <c r="AY2">
        <v>44160</v>
      </c>
      <c r="AZ2">
        <v>4520</v>
      </c>
      <c r="BA2" s="72">
        <f>SUM(B2:AZ2)</f>
        <v>1607030</v>
      </c>
      <c r="BB2" s="4">
        <f>C2+F2+M2+AM2+AW2</f>
        <v>172970</v>
      </c>
      <c r="BC2" s="4">
        <f>D2+G2+N2+AB2+AD2+AG2+AT2+AZ2</f>
        <v>136180</v>
      </c>
      <c r="BD2" s="4">
        <f>Q2+R2+Y2+AA2+AC2+AJ2+AQ2</f>
        <v>162470</v>
      </c>
      <c r="BE2" s="4">
        <f>E2+T2+AL2+AS2</f>
        <v>167020</v>
      </c>
      <c r="BF2" s="4">
        <f>O2+P2+X2+AK2+AY2</f>
        <v>256530</v>
      </c>
      <c r="BG2" s="4">
        <f>B2+S2+Z2+AR2</f>
        <v>117090</v>
      </c>
      <c r="BH2" s="4">
        <f>H2+U2+W2+AE2+AO2+AU2</f>
        <v>98190</v>
      </c>
      <c r="BI2" s="4">
        <f>AF2+AH2+AN2</f>
        <v>217490</v>
      </c>
      <c r="BJ2" s="73">
        <f>I2+K2+J2+L2+V2+AI2+AP2+AV2+AX2</f>
        <v>279090</v>
      </c>
    </row>
    <row r="3" spans="1:62" ht="18">
      <c r="A3" s="1">
        <v>2021</v>
      </c>
      <c r="B3">
        <v>26520</v>
      </c>
      <c r="C3">
        <v>4030</v>
      </c>
      <c r="D3">
        <v>30150</v>
      </c>
      <c r="E3">
        <v>19830</v>
      </c>
      <c r="F3">
        <v>104380</v>
      </c>
      <c r="G3">
        <v>33100</v>
      </c>
      <c r="H3">
        <v>21660</v>
      </c>
      <c r="I3">
        <v>4280</v>
      </c>
      <c r="J3">
        <v>370</v>
      </c>
      <c r="K3">
        <v>71150</v>
      </c>
      <c r="L3">
        <v>45730</v>
      </c>
      <c r="M3">
        <v>1700</v>
      </c>
      <c r="N3">
        <v>15490</v>
      </c>
      <c r="O3">
        <v>68270</v>
      </c>
      <c r="P3">
        <v>48430</v>
      </c>
      <c r="Q3">
        <v>26690</v>
      </c>
      <c r="R3">
        <v>21920</v>
      </c>
      <c r="S3">
        <v>35300</v>
      </c>
      <c r="T3">
        <v>20080</v>
      </c>
      <c r="U3">
        <v>10570</v>
      </c>
      <c r="V3">
        <v>23550</v>
      </c>
      <c r="W3">
        <v>43270</v>
      </c>
      <c r="X3">
        <v>4690</v>
      </c>
      <c r="Y3">
        <v>42860</v>
      </c>
      <c r="Z3">
        <v>12780</v>
      </c>
      <c r="AA3">
        <v>44430</v>
      </c>
      <c r="AB3">
        <v>7530</v>
      </c>
      <c r="AC3">
        <v>15260</v>
      </c>
      <c r="AD3">
        <v>9570</v>
      </c>
      <c r="AE3">
        <v>10830</v>
      </c>
      <c r="AF3">
        <v>46080</v>
      </c>
      <c r="AG3">
        <v>4680</v>
      </c>
      <c r="AH3">
        <v>84810</v>
      </c>
      <c r="AI3">
        <v>53800</v>
      </c>
      <c r="AJ3">
        <v>5650</v>
      </c>
      <c r="AK3">
        <v>88070</v>
      </c>
      <c r="AL3">
        <v>22090</v>
      </c>
      <c r="AM3">
        <v>23990</v>
      </c>
      <c r="AN3">
        <v>85610</v>
      </c>
      <c r="AO3">
        <v>5620</v>
      </c>
      <c r="AP3">
        <v>26620</v>
      </c>
      <c r="AQ3">
        <v>6890</v>
      </c>
      <c r="AR3" s="74">
        <v>41160</v>
      </c>
      <c r="AS3">
        <v>103970</v>
      </c>
      <c r="AT3">
        <v>33470</v>
      </c>
      <c r="AU3">
        <v>5090</v>
      </c>
      <c r="AV3">
        <v>44550</v>
      </c>
      <c r="AW3">
        <v>39950</v>
      </c>
      <c r="AX3">
        <v>6380</v>
      </c>
      <c r="AY3">
        <v>44010</v>
      </c>
      <c r="AZ3">
        <v>4630</v>
      </c>
      <c r="BA3" s="72">
        <f t="shared" ref="BA3:BA10" si="0">SUM(B3:AZ3)</f>
        <v>1601540</v>
      </c>
      <c r="BB3" s="4">
        <f t="shared" ref="BB3:BB10" si="1">C3+F3+M3+AM3+AW3</f>
        <v>174050</v>
      </c>
      <c r="BC3" s="4">
        <f t="shared" ref="BC3:BC10" si="2">D3+G3+N3+AB3+AD3+AG3+AT3+AZ3</f>
        <v>138620</v>
      </c>
      <c r="BD3" s="4">
        <f t="shared" ref="BD3:BD10" si="3">Q3+R3+Y3+AA3+AC3+AJ3+AQ3</f>
        <v>163700</v>
      </c>
      <c r="BE3" s="4">
        <f t="shared" ref="BE3:BE10" si="4">E3+T3+AL3+AS3</f>
        <v>165970</v>
      </c>
      <c r="BF3" s="4">
        <f t="shared" ref="BF3:BF10" si="5">O3+P3+X3+AK3+AY3</f>
        <v>253470</v>
      </c>
      <c r="BG3" s="4">
        <f t="shared" ref="BG3:BG10" si="6">B3+S3+Z3+AR3</f>
        <v>115760</v>
      </c>
      <c r="BH3" s="4">
        <f t="shared" ref="BH3:BH10" si="7">H3+U3+W3+AE3+AO3+AU3</f>
        <v>97040</v>
      </c>
      <c r="BI3" s="4">
        <f t="shared" ref="BI3:BI10" si="8">AF3+AH3+AN3</f>
        <v>216500</v>
      </c>
      <c r="BJ3" s="73">
        <f t="shared" ref="BJ3:BJ10" si="9">I3+K3+J3+L3+V3+AI3+AP3+AV3+AX3</f>
        <v>276430</v>
      </c>
    </row>
    <row r="4" spans="1:62" ht="18">
      <c r="A4" s="1">
        <v>2022</v>
      </c>
      <c r="B4">
        <v>26070</v>
      </c>
      <c r="C4">
        <v>4000</v>
      </c>
      <c r="D4">
        <v>29690</v>
      </c>
      <c r="E4">
        <v>19650</v>
      </c>
      <c r="F4">
        <v>102160</v>
      </c>
      <c r="G4">
        <v>33080</v>
      </c>
      <c r="H4">
        <v>20830</v>
      </c>
      <c r="I4">
        <v>4190</v>
      </c>
      <c r="J4">
        <v>350</v>
      </c>
      <c r="K4">
        <v>71220</v>
      </c>
      <c r="L4">
        <v>45070</v>
      </c>
      <c r="M4">
        <v>1750</v>
      </c>
      <c r="N4">
        <v>15520</v>
      </c>
      <c r="O4">
        <v>67040</v>
      </c>
      <c r="P4">
        <v>48430</v>
      </c>
      <c r="Q4">
        <v>26180</v>
      </c>
      <c r="R4">
        <v>21720</v>
      </c>
      <c r="S4">
        <v>34900</v>
      </c>
      <c r="T4">
        <v>19520</v>
      </c>
      <c r="U4">
        <v>10500</v>
      </c>
      <c r="V4">
        <v>23360</v>
      </c>
      <c r="W4">
        <v>42390</v>
      </c>
      <c r="X4">
        <v>4740</v>
      </c>
      <c r="Y4">
        <v>42730</v>
      </c>
      <c r="Z4">
        <v>12990</v>
      </c>
      <c r="AA4">
        <v>44490</v>
      </c>
      <c r="AB4">
        <v>7620</v>
      </c>
      <c r="AC4">
        <v>15530</v>
      </c>
      <c r="AD4">
        <v>9600</v>
      </c>
      <c r="AE4">
        <v>10840</v>
      </c>
      <c r="AF4">
        <v>45330</v>
      </c>
      <c r="AG4">
        <v>4610</v>
      </c>
      <c r="AH4">
        <v>82220</v>
      </c>
      <c r="AI4">
        <v>49780</v>
      </c>
      <c r="AJ4">
        <v>5720</v>
      </c>
      <c r="AK4">
        <v>85990</v>
      </c>
      <c r="AL4">
        <v>21860</v>
      </c>
      <c r="AM4">
        <v>24230</v>
      </c>
      <c r="AN4">
        <v>84820</v>
      </c>
      <c r="AO4">
        <v>5630</v>
      </c>
      <c r="AP4">
        <v>26250</v>
      </c>
      <c r="AQ4">
        <v>7030</v>
      </c>
      <c r="AR4" s="74">
        <v>41220</v>
      </c>
      <c r="AS4">
        <v>102540</v>
      </c>
      <c r="AT4">
        <v>34120</v>
      </c>
      <c r="AU4">
        <v>4940</v>
      </c>
      <c r="AV4">
        <v>44580</v>
      </c>
      <c r="AW4">
        <v>39500</v>
      </c>
      <c r="AX4">
        <v>6620</v>
      </c>
      <c r="AY4">
        <v>44340</v>
      </c>
      <c r="AZ4">
        <v>4630</v>
      </c>
      <c r="BA4" s="72">
        <f t="shared" si="0"/>
        <v>1582120</v>
      </c>
      <c r="BB4" s="4">
        <f t="shared" si="1"/>
        <v>171640</v>
      </c>
      <c r="BC4" s="4">
        <f t="shared" si="2"/>
        <v>138870</v>
      </c>
      <c r="BD4" s="4">
        <f t="shared" si="3"/>
        <v>163400</v>
      </c>
      <c r="BE4" s="4">
        <f t="shared" si="4"/>
        <v>163570</v>
      </c>
      <c r="BF4" s="4">
        <f t="shared" si="5"/>
        <v>250540</v>
      </c>
      <c r="BG4" s="4">
        <f t="shared" si="6"/>
        <v>115180</v>
      </c>
      <c r="BH4" s="4">
        <f t="shared" si="7"/>
        <v>95130</v>
      </c>
      <c r="BI4" s="4">
        <f t="shared" si="8"/>
        <v>212370</v>
      </c>
      <c r="BJ4" s="73">
        <f t="shared" si="9"/>
        <v>271420</v>
      </c>
    </row>
    <row r="5" spans="1:62" ht="18">
      <c r="A5" s="1">
        <v>2023</v>
      </c>
      <c r="B5">
        <v>26150</v>
      </c>
      <c r="C5">
        <v>3960</v>
      </c>
      <c r="D5">
        <v>29520</v>
      </c>
      <c r="E5">
        <v>19730</v>
      </c>
      <c r="F5">
        <v>100250</v>
      </c>
      <c r="G5">
        <v>32570</v>
      </c>
      <c r="H5">
        <v>20210</v>
      </c>
      <c r="I5">
        <v>4100</v>
      </c>
      <c r="J5">
        <v>420</v>
      </c>
      <c r="K5">
        <v>71140</v>
      </c>
      <c r="L5">
        <v>44760</v>
      </c>
      <c r="M5">
        <v>1700</v>
      </c>
      <c r="N5">
        <v>16180</v>
      </c>
      <c r="O5">
        <v>65470</v>
      </c>
      <c r="P5">
        <v>47410</v>
      </c>
      <c r="Q5">
        <v>26500</v>
      </c>
      <c r="R5">
        <v>21580</v>
      </c>
      <c r="S5">
        <v>34420</v>
      </c>
      <c r="T5">
        <v>19470</v>
      </c>
      <c r="U5">
        <v>10630</v>
      </c>
      <c r="V5">
        <v>22670</v>
      </c>
      <c r="W5">
        <v>40970</v>
      </c>
      <c r="X5">
        <v>4790</v>
      </c>
      <c r="Y5">
        <v>42280</v>
      </c>
      <c r="Z5">
        <v>12670</v>
      </c>
      <c r="AA5">
        <v>44190</v>
      </c>
      <c r="AB5">
        <v>7570</v>
      </c>
      <c r="AC5">
        <v>15170</v>
      </c>
      <c r="AD5">
        <v>9620</v>
      </c>
      <c r="AE5">
        <v>10490</v>
      </c>
      <c r="AF5">
        <v>43230</v>
      </c>
      <c r="AG5">
        <v>4660</v>
      </c>
      <c r="AH5">
        <v>79320</v>
      </c>
      <c r="AI5">
        <v>51720</v>
      </c>
      <c r="AJ5">
        <v>5680</v>
      </c>
      <c r="AK5">
        <v>84250</v>
      </c>
      <c r="AL5">
        <v>21570</v>
      </c>
      <c r="AM5">
        <v>23850</v>
      </c>
      <c r="AN5">
        <v>82400</v>
      </c>
      <c r="AO5">
        <v>5450</v>
      </c>
      <c r="AP5">
        <v>26490</v>
      </c>
      <c r="AQ5">
        <v>7210</v>
      </c>
      <c r="AR5" s="74">
        <v>40840</v>
      </c>
      <c r="AS5">
        <v>102670</v>
      </c>
      <c r="AT5">
        <v>34370</v>
      </c>
      <c r="AU5">
        <v>5020</v>
      </c>
      <c r="AV5">
        <v>43690</v>
      </c>
      <c r="AW5">
        <v>38910</v>
      </c>
      <c r="AX5">
        <v>6690</v>
      </c>
      <c r="AY5">
        <v>43520</v>
      </c>
      <c r="AZ5">
        <v>4780</v>
      </c>
      <c r="BA5" s="72">
        <f t="shared" si="0"/>
        <v>1562910</v>
      </c>
      <c r="BB5" s="4">
        <f t="shared" si="1"/>
        <v>168670</v>
      </c>
      <c r="BC5" s="4">
        <f t="shared" si="2"/>
        <v>139270</v>
      </c>
      <c r="BD5" s="4">
        <f t="shared" si="3"/>
        <v>162610</v>
      </c>
      <c r="BE5" s="4">
        <f t="shared" si="4"/>
        <v>163440</v>
      </c>
      <c r="BF5" s="4">
        <f t="shared" si="5"/>
        <v>245440</v>
      </c>
      <c r="BG5" s="4">
        <f t="shared" si="6"/>
        <v>114080</v>
      </c>
      <c r="BH5" s="4">
        <f t="shared" si="7"/>
        <v>92770</v>
      </c>
      <c r="BI5" s="4">
        <f t="shared" si="8"/>
        <v>204950</v>
      </c>
      <c r="BJ5" s="73">
        <f t="shared" si="9"/>
        <v>271680</v>
      </c>
    </row>
    <row r="6" spans="1:62" ht="18">
      <c r="A6" s="1">
        <v>2024</v>
      </c>
      <c r="B6">
        <v>25610</v>
      </c>
      <c r="C6">
        <v>3990</v>
      </c>
      <c r="D6">
        <v>29490</v>
      </c>
      <c r="E6">
        <v>19570</v>
      </c>
      <c r="F6">
        <v>99880</v>
      </c>
      <c r="G6">
        <v>33630</v>
      </c>
      <c r="H6">
        <v>19230</v>
      </c>
      <c r="I6">
        <v>4270</v>
      </c>
      <c r="J6">
        <v>410</v>
      </c>
      <c r="K6">
        <v>72320</v>
      </c>
      <c r="L6">
        <v>44410</v>
      </c>
      <c r="M6">
        <v>1550</v>
      </c>
      <c r="N6">
        <v>16410</v>
      </c>
      <c r="O6">
        <v>64240</v>
      </c>
      <c r="P6">
        <v>47520</v>
      </c>
      <c r="Q6">
        <v>26900</v>
      </c>
      <c r="R6">
        <v>21630</v>
      </c>
      <c r="S6">
        <v>34600</v>
      </c>
      <c r="T6">
        <v>19360</v>
      </c>
      <c r="U6">
        <v>10430</v>
      </c>
      <c r="V6">
        <v>22470</v>
      </c>
      <c r="W6">
        <v>40230</v>
      </c>
      <c r="X6">
        <v>4930</v>
      </c>
      <c r="Y6">
        <v>42480</v>
      </c>
      <c r="Z6">
        <v>12430</v>
      </c>
      <c r="AA6">
        <v>44440</v>
      </c>
      <c r="AB6">
        <v>8030</v>
      </c>
      <c r="AC6">
        <v>15230</v>
      </c>
      <c r="AD6">
        <v>9730</v>
      </c>
      <c r="AE6">
        <v>10470</v>
      </c>
      <c r="AF6">
        <v>42520</v>
      </c>
      <c r="AG6">
        <v>4620</v>
      </c>
      <c r="AH6">
        <v>78660</v>
      </c>
      <c r="AI6">
        <v>51530</v>
      </c>
      <c r="AJ6">
        <v>5880</v>
      </c>
      <c r="AK6">
        <v>84170</v>
      </c>
      <c r="AL6">
        <v>21660</v>
      </c>
      <c r="AM6">
        <v>24400</v>
      </c>
      <c r="AN6">
        <v>82420</v>
      </c>
      <c r="AO6">
        <v>5360</v>
      </c>
      <c r="AP6">
        <v>26610</v>
      </c>
      <c r="AQ6">
        <v>7290</v>
      </c>
      <c r="AR6" s="74">
        <v>40960</v>
      </c>
      <c r="AS6">
        <v>102360</v>
      </c>
      <c r="AT6">
        <v>35370</v>
      </c>
      <c r="AU6">
        <v>4830</v>
      </c>
      <c r="AV6">
        <v>43120</v>
      </c>
      <c r="AW6">
        <v>39430</v>
      </c>
      <c r="AX6">
        <v>6650</v>
      </c>
      <c r="AY6">
        <v>43060</v>
      </c>
      <c r="AZ6">
        <v>4910</v>
      </c>
      <c r="BA6" s="72">
        <f t="shared" si="0"/>
        <v>1561700</v>
      </c>
      <c r="BB6" s="4">
        <f t="shared" si="1"/>
        <v>169250</v>
      </c>
      <c r="BC6" s="4">
        <f t="shared" si="2"/>
        <v>142190</v>
      </c>
      <c r="BD6" s="4">
        <f t="shared" si="3"/>
        <v>163850</v>
      </c>
      <c r="BE6" s="4">
        <f t="shared" si="4"/>
        <v>162950</v>
      </c>
      <c r="BF6" s="4">
        <f t="shared" si="5"/>
        <v>243920</v>
      </c>
      <c r="BG6" s="4">
        <f t="shared" si="6"/>
        <v>113600</v>
      </c>
      <c r="BH6" s="4">
        <f t="shared" si="7"/>
        <v>90550</v>
      </c>
      <c r="BI6" s="4">
        <f t="shared" si="8"/>
        <v>203600</v>
      </c>
      <c r="BJ6" s="73">
        <f t="shared" si="9"/>
        <v>271790</v>
      </c>
    </row>
    <row r="7" spans="1:62" ht="18">
      <c r="A7" s="1">
        <v>2025</v>
      </c>
      <c r="B7">
        <v>25770</v>
      </c>
      <c r="C7">
        <v>4030</v>
      </c>
      <c r="D7">
        <v>29580</v>
      </c>
      <c r="E7">
        <v>20610</v>
      </c>
      <c r="F7">
        <v>96140</v>
      </c>
      <c r="G7">
        <v>33300</v>
      </c>
      <c r="H7">
        <v>18850</v>
      </c>
      <c r="I7">
        <v>4230</v>
      </c>
      <c r="J7">
        <v>490</v>
      </c>
      <c r="K7">
        <v>71420</v>
      </c>
      <c r="L7">
        <v>44070</v>
      </c>
      <c r="M7">
        <v>1510</v>
      </c>
      <c r="N7">
        <v>17020</v>
      </c>
      <c r="O7">
        <v>63900</v>
      </c>
      <c r="P7">
        <v>47810</v>
      </c>
      <c r="Q7">
        <v>27150</v>
      </c>
      <c r="R7">
        <v>22210</v>
      </c>
      <c r="S7">
        <v>35060</v>
      </c>
      <c r="T7">
        <v>20040</v>
      </c>
      <c r="U7">
        <v>10500</v>
      </c>
      <c r="V7">
        <v>22480</v>
      </c>
      <c r="W7">
        <v>40120</v>
      </c>
      <c r="X7">
        <v>5190</v>
      </c>
      <c r="Y7">
        <v>42500</v>
      </c>
      <c r="Z7">
        <v>12740</v>
      </c>
      <c r="AA7">
        <v>45070</v>
      </c>
      <c r="AB7">
        <v>8000</v>
      </c>
      <c r="AC7">
        <v>14570</v>
      </c>
      <c r="AD7">
        <v>9910</v>
      </c>
      <c r="AE7">
        <v>10370</v>
      </c>
      <c r="AF7">
        <v>41500</v>
      </c>
      <c r="AG7">
        <v>4550</v>
      </c>
      <c r="AH7">
        <v>77520</v>
      </c>
      <c r="AI7">
        <v>51930</v>
      </c>
      <c r="AJ7">
        <v>6030</v>
      </c>
      <c r="AK7">
        <v>84420</v>
      </c>
      <c r="AL7">
        <v>22240</v>
      </c>
      <c r="AM7">
        <v>25050</v>
      </c>
      <c r="AN7">
        <v>82010</v>
      </c>
      <c r="AO7">
        <v>5240</v>
      </c>
      <c r="AP7">
        <v>27400</v>
      </c>
      <c r="AQ7">
        <v>7390</v>
      </c>
      <c r="AR7" s="74">
        <v>41120</v>
      </c>
      <c r="AS7">
        <v>104390</v>
      </c>
      <c r="AT7">
        <v>36260</v>
      </c>
      <c r="AU7">
        <v>5060</v>
      </c>
      <c r="AV7">
        <v>43040</v>
      </c>
      <c r="AW7">
        <v>39950</v>
      </c>
      <c r="AX7">
        <v>7070</v>
      </c>
      <c r="AY7">
        <v>43760</v>
      </c>
      <c r="AZ7">
        <v>5020</v>
      </c>
      <c r="BA7" s="72">
        <f t="shared" si="0"/>
        <v>1565590</v>
      </c>
      <c r="BB7" s="4">
        <f t="shared" si="1"/>
        <v>166680</v>
      </c>
      <c r="BC7" s="4">
        <f t="shared" si="2"/>
        <v>143640</v>
      </c>
      <c r="BD7" s="4">
        <f t="shared" si="3"/>
        <v>164920</v>
      </c>
      <c r="BE7" s="4">
        <f t="shared" si="4"/>
        <v>167280</v>
      </c>
      <c r="BF7" s="4">
        <f t="shared" si="5"/>
        <v>245080</v>
      </c>
      <c r="BG7" s="4">
        <f t="shared" si="6"/>
        <v>114690</v>
      </c>
      <c r="BH7" s="4">
        <f t="shared" si="7"/>
        <v>90140</v>
      </c>
      <c r="BI7" s="4">
        <f t="shared" si="8"/>
        <v>201030</v>
      </c>
      <c r="BJ7" s="73">
        <f t="shared" si="9"/>
        <v>272130</v>
      </c>
    </row>
    <row r="8" spans="1:62" ht="18">
      <c r="A8" s="1">
        <v>2026</v>
      </c>
      <c r="B8">
        <v>25520</v>
      </c>
      <c r="C8">
        <v>4140</v>
      </c>
      <c r="D8">
        <v>29030</v>
      </c>
      <c r="E8">
        <v>20300</v>
      </c>
      <c r="F8">
        <v>92800</v>
      </c>
      <c r="G8">
        <v>33260</v>
      </c>
      <c r="H8">
        <v>18060</v>
      </c>
      <c r="I8">
        <v>4170</v>
      </c>
      <c r="J8">
        <v>460</v>
      </c>
      <c r="K8">
        <v>71950</v>
      </c>
      <c r="L8">
        <v>43220</v>
      </c>
      <c r="M8">
        <v>1570</v>
      </c>
      <c r="N8">
        <v>17130</v>
      </c>
      <c r="O8">
        <v>62400</v>
      </c>
      <c r="P8">
        <v>47470</v>
      </c>
      <c r="Q8">
        <v>26930</v>
      </c>
      <c r="R8">
        <v>21870</v>
      </c>
      <c r="S8">
        <v>34480</v>
      </c>
      <c r="T8">
        <v>19370</v>
      </c>
      <c r="U8">
        <v>10360</v>
      </c>
      <c r="V8">
        <v>22050</v>
      </c>
      <c r="W8">
        <v>39330</v>
      </c>
      <c r="X8">
        <v>5350</v>
      </c>
      <c r="Y8">
        <v>42200</v>
      </c>
      <c r="Z8">
        <v>12520</v>
      </c>
      <c r="AA8">
        <v>44440</v>
      </c>
      <c r="AB8">
        <v>8190</v>
      </c>
      <c r="AC8">
        <v>15500</v>
      </c>
      <c r="AD8">
        <v>9730</v>
      </c>
      <c r="AE8">
        <v>10150</v>
      </c>
      <c r="AF8">
        <v>40080</v>
      </c>
      <c r="AG8">
        <v>4440</v>
      </c>
      <c r="AH8">
        <v>75830</v>
      </c>
      <c r="AI8">
        <v>51250</v>
      </c>
      <c r="AJ8">
        <v>6060</v>
      </c>
      <c r="AK8">
        <v>83190</v>
      </c>
      <c r="AL8">
        <v>22180</v>
      </c>
      <c r="AM8">
        <v>25190</v>
      </c>
      <c r="AN8">
        <v>81280</v>
      </c>
      <c r="AO8">
        <v>5080</v>
      </c>
      <c r="AP8">
        <v>27080</v>
      </c>
      <c r="AQ8">
        <v>7340</v>
      </c>
      <c r="AR8" s="74">
        <v>40290</v>
      </c>
      <c r="AS8">
        <v>103930</v>
      </c>
      <c r="AT8">
        <v>35950</v>
      </c>
      <c r="AU8">
        <v>5010</v>
      </c>
      <c r="AV8">
        <v>42680</v>
      </c>
      <c r="AW8">
        <v>39630</v>
      </c>
      <c r="AX8">
        <v>7470</v>
      </c>
      <c r="AY8">
        <v>42920</v>
      </c>
      <c r="AZ8">
        <v>4880</v>
      </c>
      <c r="BA8" s="72">
        <f t="shared" si="0"/>
        <v>1545710</v>
      </c>
      <c r="BB8" s="4">
        <f t="shared" si="1"/>
        <v>163330</v>
      </c>
      <c r="BC8" s="4">
        <f t="shared" si="2"/>
        <v>142610</v>
      </c>
      <c r="BD8" s="4">
        <f t="shared" si="3"/>
        <v>164340</v>
      </c>
      <c r="BE8" s="4">
        <f t="shared" si="4"/>
        <v>165780</v>
      </c>
      <c r="BF8" s="4">
        <f t="shared" si="5"/>
        <v>241330</v>
      </c>
      <c r="BG8" s="4">
        <f t="shared" si="6"/>
        <v>112810</v>
      </c>
      <c r="BH8" s="4">
        <f t="shared" si="7"/>
        <v>87990</v>
      </c>
      <c r="BI8" s="4">
        <f t="shared" si="8"/>
        <v>197190</v>
      </c>
      <c r="BJ8" s="73">
        <f t="shared" si="9"/>
        <v>270330</v>
      </c>
    </row>
    <row r="9" spans="1:62" ht="18">
      <c r="A9" s="1">
        <v>2027</v>
      </c>
      <c r="B9">
        <v>24920</v>
      </c>
      <c r="C9">
        <v>3990</v>
      </c>
      <c r="D9">
        <v>28320</v>
      </c>
      <c r="E9">
        <v>19790</v>
      </c>
      <c r="F9">
        <v>89470</v>
      </c>
      <c r="G9">
        <v>32630</v>
      </c>
      <c r="H9">
        <v>17230</v>
      </c>
      <c r="I9">
        <v>4060</v>
      </c>
      <c r="J9">
        <v>540</v>
      </c>
      <c r="K9">
        <v>68640</v>
      </c>
      <c r="L9">
        <v>41720</v>
      </c>
      <c r="M9">
        <v>1310</v>
      </c>
      <c r="N9">
        <v>16860</v>
      </c>
      <c r="O9">
        <v>60360</v>
      </c>
      <c r="P9">
        <v>46330</v>
      </c>
      <c r="Q9">
        <v>25990</v>
      </c>
      <c r="R9">
        <v>21420</v>
      </c>
      <c r="S9">
        <v>33730</v>
      </c>
      <c r="T9">
        <v>18750</v>
      </c>
      <c r="U9">
        <v>10270</v>
      </c>
      <c r="V9">
        <v>21210</v>
      </c>
      <c r="W9">
        <v>37600</v>
      </c>
      <c r="X9">
        <v>5260</v>
      </c>
      <c r="Y9">
        <v>40870</v>
      </c>
      <c r="Z9">
        <v>12100</v>
      </c>
      <c r="AA9">
        <v>43230</v>
      </c>
      <c r="AB9">
        <v>7950</v>
      </c>
      <c r="AC9">
        <v>15440</v>
      </c>
      <c r="AD9">
        <v>9270</v>
      </c>
      <c r="AE9">
        <v>9920</v>
      </c>
      <c r="AF9">
        <v>38640</v>
      </c>
      <c r="AG9">
        <v>4340</v>
      </c>
      <c r="AH9">
        <v>73950</v>
      </c>
      <c r="AI9">
        <v>49990</v>
      </c>
      <c r="AJ9">
        <v>6050</v>
      </c>
      <c r="AK9">
        <v>80550</v>
      </c>
      <c r="AL9">
        <v>21720</v>
      </c>
      <c r="AM9">
        <v>24470</v>
      </c>
      <c r="AN9">
        <v>77940</v>
      </c>
      <c r="AO9">
        <v>4920</v>
      </c>
      <c r="AP9">
        <v>27230</v>
      </c>
      <c r="AQ9">
        <v>7230</v>
      </c>
      <c r="AR9" s="74">
        <v>38470</v>
      </c>
      <c r="AS9">
        <v>102370</v>
      </c>
      <c r="AT9">
        <v>35150</v>
      </c>
      <c r="AU9">
        <v>4670</v>
      </c>
      <c r="AV9">
        <v>41260</v>
      </c>
      <c r="AW9">
        <v>38910</v>
      </c>
      <c r="AX9">
        <v>7310</v>
      </c>
      <c r="AY9">
        <v>41790</v>
      </c>
      <c r="AZ9">
        <v>4810</v>
      </c>
      <c r="BA9" s="72">
        <f t="shared" si="0"/>
        <v>1500950</v>
      </c>
      <c r="BB9" s="4">
        <f t="shared" si="1"/>
        <v>158150</v>
      </c>
      <c r="BC9" s="4">
        <f t="shared" si="2"/>
        <v>139330</v>
      </c>
      <c r="BD9" s="4">
        <f t="shared" si="3"/>
        <v>160230</v>
      </c>
      <c r="BE9" s="4">
        <f t="shared" si="4"/>
        <v>162630</v>
      </c>
      <c r="BF9" s="4">
        <f t="shared" si="5"/>
        <v>234290</v>
      </c>
      <c r="BG9" s="4">
        <f t="shared" si="6"/>
        <v>109220</v>
      </c>
      <c r="BH9" s="4">
        <f t="shared" si="7"/>
        <v>84610</v>
      </c>
      <c r="BI9" s="4">
        <f t="shared" si="8"/>
        <v>190530</v>
      </c>
      <c r="BJ9" s="73">
        <f t="shared" si="9"/>
        <v>261960</v>
      </c>
    </row>
    <row r="10" spans="1:62" ht="18">
      <c r="A10" s="1">
        <v>2028</v>
      </c>
      <c r="B10">
        <v>23880</v>
      </c>
      <c r="C10">
        <v>4020</v>
      </c>
      <c r="D10">
        <v>27170</v>
      </c>
      <c r="E10">
        <v>19260</v>
      </c>
      <c r="F10">
        <v>90900</v>
      </c>
      <c r="G10">
        <v>31810</v>
      </c>
      <c r="H10">
        <v>16590</v>
      </c>
      <c r="I10">
        <v>3960</v>
      </c>
      <c r="J10">
        <v>560</v>
      </c>
      <c r="K10">
        <v>66980</v>
      </c>
      <c r="L10">
        <v>40190</v>
      </c>
      <c r="M10">
        <v>1360</v>
      </c>
      <c r="N10">
        <v>16690</v>
      </c>
      <c r="O10">
        <v>58680</v>
      </c>
      <c r="P10">
        <v>44750</v>
      </c>
      <c r="Q10">
        <v>25520</v>
      </c>
      <c r="R10">
        <v>21250</v>
      </c>
      <c r="S10">
        <v>32010</v>
      </c>
      <c r="T10">
        <v>17950</v>
      </c>
      <c r="U10">
        <v>9870</v>
      </c>
      <c r="V10">
        <v>20790</v>
      </c>
      <c r="W10">
        <v>36810</v>
      </c>
      <c r="X10">
        <v>5260</v>
      </c>
      <c r="Y10">
        <v>40420</v>
      </c>
      <c r="Z10">
        <v>11370</v>
      </c>
      <c r="AA10">
        <v>42050</v>
      </c>
      <c r="AB10">
        <v>7770</v>
      </c>
      <c r="AC10">
        <v>15150</v>
      </c>
      <c r="AD10">
        <v>9100</v>
      </c>
      <c r="AE10">
        <v>9560</v>
      </c>
      <c r="AF10">
        <v>37050</v>
      </c>
      <c r="AG10">
        <v>4140</v>
      </c>
      <c r="AH10">
        <v>72180</v>
      </c>
      <c r="AI10">
        <v>48160</v>
      </c>
      <c r="AJ10">
        <v>5890</v>
      </c>
      <c r="AK10">
        <v>78060</v>
      </c>
      <c r="AL10">
        <v>21120</v>
      </c>
      <c r="AM10">
        <v>24090</v>
      </c>
      <c r="AN10">
        <v>75930</v>
      </c>
      <c r="AO10">
        <v>4880</v>
      </c>
      <c r="AP10">
        <v>25730</v>
      </c>
      <c r="AQ10">
        <v>7040</v>
      </c>
      <c r="AR10" s="74">
        <v>37960</v>
      </c>
      <c r="AS10">
        <v>100060</v>
      </c>
      <c r="AT10">
        <v>34700</v>
      </c>
      <c r="AU10">
        <v>4680</v>
      </c>
      <c r="AV10">
        <v>39880</v>
      </c>
      <c r="AW10">
        <v>37970</v>
      </c>
      <c r="AX10">
        <v>7520</v>
      </c>
      <c r="AY10">
        <v>40410</v>
      </c>
      <c r="AZ10">
        <v>4560</v>
      </c>
      <c r="BA10" s="72">
        <f t="shared" si="0"/>
        <v>1463690</v>
      </c>
      <c r="BB10" s="4">
        <f t="shared" si="1"/>
        <v>158340</v>
      </c>
      <c r="BC10" s="4">
        <f t="shared" si="2"/>
        <v>135940</v>
      </c>
      <c r="BD10" s="4">
        <f t="shared" si="3"/>
        <v>157320</v>
      </c>
      <c r="BE10" s="4">
        <f t="shared" si="4"/>
        <v>158390</v>
      </c>
      <c r="BF10" s="4">
        <f t="shared" si="5"/>
        <v>227160</v>
      </c>
      <c r="BG10" s="4">
        <f t="shared" si="6"/>
        <v>105220</v>
      </c>
      <c r="BH10" s="4">
        <f t="shared" si="7"/>
        <v>82390</v>
      </c>
      <c r="BI10" s="4">
        <f t="shared" si="8"/>
        <v>185160</v>
      </c>
      <c r="BJ10" s="73">
        <f t="shared" si="9"/>
        <v>253770</v>
      </c>
    </row>
  </sheetData>
  <sheetProtection algorithmName="SHA-512" hashValue="ngGV3soqvWee3985ps/22beQocCV6xt7++fplSAIGrkwCp9pJZhZgBIosr3bZmKyLUz4KbxjRnrJy20lM6BtQA==" saltValue="HH1sr9St6pbPvXRMCm+u9Q==" spinCount="100000" sheet="1" objects="1" scenarios="1" selectLockedCells="1" selectUn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035D-3A9B-4E2E-A083-A72C6E0E0261}">
  <sheetPr codeName="Sheet18"/>
  <dimension ref="A1:BJ10"/>
  <sheetViews>
    <sheetView topLeftCell="AA1" workbookViewId="0">
      <selection activeCell="BA1" sqref="BA1:BJ1"/>
    </sheetView>
  </sheetViews>
  <sheetFormatPr defaultRowHeight="15"/>
  <sheetData>
    <row r="1" spans="1:62">
      <c r="A1" s="1" t="s">
        <v>113</v>
      </c>
      <c r="B1" t="s">
        <v>1</v>
      </c>
      <c r="C1" t="s">
        <v>107</v>
      </c>
      <c r="D1" t="s">
        <v>98</v>
      </c>
      <c r="E1" t="s">
        <v>93</v>
      </c>
      <c r="F1" t="s">
        <v>109</v>
      </c>
      <c r="G1" t="s">
        <v>100</v>
      </c>
      <c r="H1" t="s">
        <v>54</v>
      </c>
      <c r="I1" t="s">
        <v>79</v>
      </c>
      <c r="J1" t="s">
        <v>87</v>
      </c>
      <c r="K1" t="s">
        <v>81</v>
      </c>
      <c r="L1" t="s">
        <v>82</v>
      </c>
      <c r="M1" t="s">
        <v>110</v>
      </c>
      <c r="N1" t="s">
        <v>101</v>
      </c>
      <c r="O1" t="s">
        <v>65</v>
      </c>
      <c r="P1" t="s">
        <v>67</v>
      </c>
      <c r="Q1" t="s">
        <v>71</v>
      </c>
      <c r="R1" t="s">
        <v>73</v>
      </c>
      <c r="S1" t="s">
        <v>90</v>
      </c>
      <c r="T1" t="s">
        <v>95</v>
      </c>
      <c r="U1" t="s">
        <v>56</v>
      </c>
      <c r="V1" t="s">
        <v>83</v>
      </c>
      <c r="W1" t="s">
        <v>57</v>
      </c>
      <c r="X1" t="s">
        <v>68</v>
      </c>
      <c r="Y1" t="s">
        <v>74</v>
      </c>
      <c r="Z1" t="s">
        <v>91</v>
      </c>
      <c r="AA1" t="s">
        <v>75</v>
      </c>
      <c r="AB1" t="s">
        <v>102</v>
      </c>
      <c r="AC1" t="s">
        <v>76</v>
      </c>
      <c r="AD1" t="s">
        <v>103</v>
      </c>
      <c r="AE1" t="s">
        <v>58</v>
      </c>
      <c r="AF1" t="s">
        <v>61</v>
      </c>
      <c r="AG1" t="s">
        <v>104</v>
      </c>
      <c r="AH1" t="s">
        <v>63</v>
      </c>
      <c r="AI1" t="s">
        <v>84</v>
      </c>
      <c r="AJ1" t="s">
        <v>77</v>
      </c>
      <c r="AK1" t="s">
        <v>69</v>
      </c>
      <c r="AL1" t="s">
        <v>96</v>
      </c>
      <c r="AM1" t="s">
        <v>111</v>
      </c>
      <c r="AN1" t="s">
        <v>64</v>
      </c>
      <c r="AO1" t="s">
        <v>59</v>
      </c>
      <c r="AP1" t="s">
        <v>85</v>
      </c>
      <c r="AQ1" t="s">
        <v>78</v>
      </c>
      <c r="AR1" t="s">
        <v>92</v>
      </c>
      <c r="AS1" t="s">
        <v>97</v>
      </c>
      <c r="AT1" t="s">
        <v>105</v>
      </c>
      <c r="AU1" t="s">
        <v>60</v>
      </c>
      <c r="AV1" t="s">
        <v>86</v>
      </c>
      <c r="AW1" t="s">
        <v>112</v>
      </c>
      <c r="AX1" t="s">
        <v>88</v>
      </c>
      <c r="AY1" t="s">
        <v>70</v>
      </c>
      <c r="AZ1" t="s">
        <v>106</v>
      </c>
      <c r="BA1" s="1" t="s">
        <v>40</v>
      </c>
      <c r="BB1" s="1" t="s">
        <v>108</v>
      </c>
      <c r="BC1" s="1" t="s">
        <v>99</v>
      </c>
      <c r="BD1" s="1" t="s">
        <v>72</v>
      </c>
      <c r="BE1" s="1" t="s">
        <v>94</v>
      </c>
      <c r="BF1" s="1" t="s">
        <v>66</v>
      </c>
      <c r="BG1" s="1" t="s">
        <v>89</v>
      </c>
      <c r="BH1" s="1" t="s">
        <v>55</v>
      </c>
      <c r="BI1" s="1" t="s">
        <v>62</v>
      </c>
      <c r="BJ1" s="1" t="s">
        <v>80</v>
      </c>
    </row>
    <row r="2" spans="1:62" ht="18">
      <c r="A2" s="1">
        <v>2020</v>
      </c>
      <c r="B2" s="54">
        <v>15760</v>
      </c>
      <c r="C2" s="54">
        <v>230</v>
      </c>
      <c r="D2" s="54">
        <v>3920</v>
      </c>
      <c r="E2" s="54">
        <v>6350</v>
      </c>
      <c r="F2" s="54">
        <v>22930</v>
      </c>
      <c r="G2" s="54">
        <v>2660</v>
      </c>
      <c r="H2" s="54">
        <v>4650</v>
      </c>
      <c r="I2" s="54">
        <v>2900</v>
      </c>
      <c r="J2" s="54">
        <v>2340</v>
      </c>
      <c r="K2" s="54">
        <v>37210</v>
      </c>
      <c r="L2" s="54">
        <v>40710</v>
      </c>
      <c r="M2" s="54">
        <v>320</v>
      </c>
      <c r="N2" s="54">
        <v>240</v>
      </c>
      <c r="O2" s="54">
        <v>20520</v>
      </c>
      <c r="P2" s="54">
        <v>8150</v>
      </c>
      <c r="Q2" s="54">
        <v>1900</v>
      </c>
      <c r="R2" s="54">
        <v>2280</v>
      </c>
      <c r="S2" s="54">
        <v>4790</v>
      </c>
      <c r="T2" s="54">
        <v>18270</v>
      </c>
      <c r="U2" s="54">
        <v>440</v>
      </c>
      <c r="V2" s="54">
        <v>19630</v>
      </c>
      <c r="W2" s="54">
        <v>5910</v>
      </c>
      <c r="X2" s="54">
        <v>15200</v>
      </c>
      <c r="Y2" s="54">
        <v>6000</v>
      </c>
      <c r="Z2" s="54">
        <v>13360</v>
      </c>
      <c r="AA2" s="54">
        <v>8650</v>
      </c>
      <c r="AB2" s="54">
        <v>80</v>
      </c>
      <c r="AC2" s="54">
        <v>1260</v>
      </c>
      <c r="AD2" s="54">
        <v>2620</v>
      </c>
      <c r="AE2" s="54">
        <v>310</v>
      </c>
      <c r="AF2" s="54">
        <v>14020</v>
      </c>
      <c r="AG2" s="54">
        <v>400</v>
      </c>
      <c r="AH2" s="54">
        <v>29990</v>
      </c>
      <c r="AI2" s="54">
        <v>26440</v>
      </c>
      <c r="AJ2" s="54">
        <v>380</v>
      </c>
      <c r="AK2" s="54">
        <v>16630</v>
      </c>
      <c r="AL2" s="54">
        <v>3750</v>
      </c>
      <c r="AM2" s="54">
        <v>860</v>
      </c>
      <c r="AN2" s="54">
        <v>16410</v>
      </c>
      <c r="AO2" s="54">
        <v>880</v>
      </c>
      <c r="AP2" s="54">
        <v>15680</v>
      </c>
      <c r="AQ2" s="54">
        <v>230</v>
      </c>
      <c r="AR2" s="54">
        <v>13860</v>
      </c>
      <c r="AS2" s="54">
        <v>43950</v>
      </c>
      <c r="AT2" s="54">
        <v>630</v>
      </c>
      <c r="AU2" s="54">
        <v>170</v>
      </c>
      <c r="AV2" s="54">
        <v>18210</v>
      </c>
      <c r="AW2" s="54">
        <v>3090</v>
      </c>
      <c r="AX2" s="54">
        <v>810</v>
      </c>
      <c r="AY2" s="54">
        <v>4430</v>
      </c>
      <c r="AZ2" s="54">
        <v>50</v>
      </c>
      <c r="BA2" s="72">
        <f>SUM(B2:AZ2)</f>
        <v>480460</v>
      </c>
      <c r="BB2" s="4">
        <f>C2+F2+M2+AM2+AW2</f>
        <v>27430</v>
      </c>
      <c r="BC2" s="4">
        <f>D2+G2+N2+AB2+AD2+AG2+AT2+AZ2</f>
        <v>10600</v>
      </c>
      <c r="BD2" s="4">
        <f>Q2+R2+Y2+AA2+AC2+AJ2+AQ2</f>
        <v>20700</v>
      </c>
      <c r="BE2" s="4">
        <f>E2+T2+AL2+AS2</f>
        <v>72320</v>
      </c>
      <c r="BF2" s="4">
        <f>O2+P2+X2+AK2+AY2</f>
        <v>64930</v>
      </c>
      <c r="BG2" s="4">
        <f>B2+S2+Z2+AR2</f>
        <v>47770</v>
      </c>
      <c r="BH2" s="4">
        <f>H2+U2+W2+AE2+AO2+AU2</f>
        <v>12360</v>
      </c>
      <c r="BI2" s="4">
        <f>AF2+AH2+AN2</f>
        <v>60420</v>
      </c>
      <c r="BJ2" s="73">
        <f>I2+K2+J2+L2+V2+AI2+AP2+AV2+AX2</f>
        <v>163930</v>
      </c>
    </row>
    <row r="3" spans="1:62" ht="18">
      <c r="A3" s="1">
        <v>2021</v>
      </c>
      <c r="B3" s="54">
        <v>14720</v>
      </c>
      <c r="C3" s="54">
        <v>220</v>
      </c>
      <c r="D3" s="54">
        <v>3860</v>
      </c>
      <c r="E3" s="54">
        <v>6070</v>
      </c>
      <c r="F3" s="54">
        <v>22710</v>
      </c>
      <c r="G3" s="54">
        <v>2580</v>
      </c>
      <c r="H3" s="54">
        <v>4610</v>
      </c>
      <c r="I3" s="54">
        <v>2800</v>
      </c>
      <c r="J3" s="54">
        <v>2390</v>
      </c>
      <c r="K3" s="54">
        <v>36460</v>
      </c>
      <c r="L3" s="54">
        <v>39790</v>
      </c>
      <c r="M3" s="54">
        <v>250</v>
      </c>
      <c r="N3" s="54">
        <v>230</v>
      </c>
      <c r="O3" s="54">
        <v>19660</v>
      </c>
      <c r="P3" s="54">
        <v>7590</v>
      </c>
      <c r="Q3" s="54">
        <v>1920</v>
      </c>
      <c r="R3" s="54">
        <v>2210</v>
      </c>
      <c r="S3" s="54">
        <v>4850</v>
      </c>
      <c r="T3" s="54">
        <v>17650</v>
      </c>
      <c r="U3" s="54">
        <v>440</v>
      </c>
      <c r="V3" s="54">
        <v>19310</v>
      </c>
      <c r="W3" s="54">
        <v>6010</v>
      </c>
      <c r="X3" s="54">
        <v>14380</v>
      </c>
      <c r="Y3" s="54">
        <v>5910</v>
      </c>
      <c r="Z3" s="54">
        <v>12700</v>
      </c>
      <c r="AA3" s="54">
        <v>8470</v>
      </c>
      <c r="AB3" s="54">
        <v>90</v>
      </c>
      <c r="AC3" s="54">
        <v>1350</v>
      </c>
      <c r="AD3" s="54">
        <v>2750</v>
      </c>
      <c r="AE3" s="54">
        <v>290</v>
      </c>
      <c r="AF3" s="54">
        <v>13750</v>
      </c>
      <c r="AG3" s="54">
        <v>400</v>
      </c>
      <c r="AH3" s="54">
        <v>28530</v>
      </c>
      <c r="AI3" s="54">
        <v>25410</v>
      </c>
      <c r="AJ3" s="54">
        <v>370</v>
      </c>
      <c r="AK3" s="54">
        <v>16200</v>
      </c>
      <c r="AL3" s="54">
        <v>3690</v>
      </c>
      <c r="AM3" s="54">
        <v>840</v>
      </c>
      <c r="AN3" s="54">
        <v>16280</v>
      </c>
      <c r="AO3" s="54">
        <v>870</v>
      </c>
      <c r="AP3" s="54">
        <v>15160</v>
      </c>
      <c r="AQ3" s="54">
        <v>260</v>
      </c>
      <c r="AR3" s="54">
        <v>13520</v>
      </c>
      <c r="AS3" s="54">
        <v>44010</v>
      </c>
      <c r="AT3" s="54">
        <v>610</v>
      </c>
      <c r="AU3" s="54">
        <v>160</v>
      </c>
      <c r="AV3" s="54">
        <v>18040</v>
      </c>
      <c r="AW3" s="54">
        <v>3020</v>
      </c>
      <c r="AX3" s="54">
        <v>770</v>
      </c>
      <c r="AY3" s="54">
        <v>4330</v>
      </c>
      <c r="AZ3" s="54">
        <v>50</v>
      </c>
      <c r="BA3" s="72">
        <f t="shared" ref="BA3:BA10" si="0">SUM(B3:AZ3)</f>
        <v>468540</v>
      </c>
      <c r="BB3" s="4">
        <f t="shared" ref="BB3:BB10" si="1">C3+F3+M3+AM3+AW3</f>
        <v>27040</v>
      </c>
      <c r="BC3" s="4">
        <f t="shared" ref="BC3:BC10" si="2">D3+G3+N3+AB3+AD3+AG3+AT3+AZ3</f>
        <v>10570</v>
      </c>
      <c r="BD3" s="4">
        <f t="shared" ref="BD3:BD10" si="3">Q3+R3+Y3+AA3+AC3+AJ3+AQ3</f>
        <v>20490</v>
      </c>
      <c r="BE3" s="4">
        <f t="shared" ref="BE3:BE10" si="4">E3+T3+AL3+AS3</f>
        <v>71420</v>
      </c>
      <c r="BF3" s="4">
        <f t="shared" ref="BF3:BF10" si="5">O3+P3+X3+AK3+AY3</f>
        <v>62160</v>
      </c>
      <c r="BG3" s="4">
        <f t="shared" ref="BG3:BG10" si="6">B3+S3+Z3+AR3</f>
        <v>45790</v>
      </c>
      <c r="BH3" s="4">
        <f t="shared" ref="BH3:BH10" si="7">H3+U3+W3+AE3+AO3+AU3</f>
        <v>12380</v>
      </c>
      <c r="BI3" s="4">
        <f t="shared" ref="BI3:BI10" si="8">AF3+AH3+AN3</f>
        <v>58560</v>
      </c>
      <c r="BJ3" s="73">
        <f t="shared" ref="BJ3:BJ10" si="9">I3+K3+J3+L3+V3+AI3+AP3+AV3+AX3</f>
        <v>160130</v>
      </c>
    </row>
    <row r="4" spans="1:62" ht="18">
      <c r="A4" s="1">
        <v>2022</v>
      </c>
      <c r="B4" s="54">
        <v>14490</v>
      </c>
      <c r="C4" s="54">
        <v>220</v>
      </c>
      <c r="D4" s="54">
        <v>4000</v>
      </c>
      <c r="E4" s="54">
        <v>5920</v>
      </c>
      <c r="F4" s="54">
        <v>21560</v>
      </c>
      <c r="G4" s="54">
        <v>2520</v>
      </c>
      <c r="H4" s="54">
        <v>4530</v>
      </c>
      <c r="I4" s="54">
        <v>2870</v>
      </c>
      <c r="J4" s="54">
        <v>2270</v>
      </c>
      <c r="K4" s="54">
        <v>36420</v>
      </c>
      <c r="L4" s="54">
        <v>38790</v>
      </c>
      <c r="M4" s="54">
        <v>220</v>
      </c>
      <c r="N4" s="54">
        <v>250</v>
      </c>
      <c r="O4" s="54">
        <v>18940</v>
      </c>
      <c r="P4" s="54">
        <v>7700</v>
      </c>
      <c r="Q4" s="54">
        <v>1980</v>
      </c>
      <c r="R4" s="54">
        <v>2060</v>
      </c>
      <c r="S4" s="54">
        <v>4620</v>
      </c>
      <c r="T4" s="54">
        <v>17080</v>
      </c>
      <c r="U4" s="54">
        <v>490</v>
      </c>
      <c r="V4" s="54">
        <v>19890</v>
      </c>
      <c r="W4" s="54">
        <v>6040</v>
      </c>
      <c r="X4" s="54">
        <v>14280</v>
      </c>
      <c r="Y4" s="54">
        <v>6300</v>
      </c>
      <c r="Z4" s="54">
        <v>12490</v>
      </c>
      <c r="AA4" s="54">
        <v>8270</v>
      </c>
      <c r="AB4" s="54">
        <v>90</v>
      </c>
      <c r="AC4" s="54">
        <v>1340</v>
      </c>
      <c r="AD4" s="54">
        <v>2790</v>
      </c>
      <c r="AE4" s="54">
        <v>270</v>
      </c>
      <c r="AF4" s="54">
        <v>13140</v>
      </c>
      <c r="AG4" s="54">
        <v>400</v>
      </c>
      <c r="AH4" s="54">
        <v>26920</v>
      </c>
      <c r="AI4" s="54">
        <v>23630</v>
      </c>
      <c r="AJ4" s="54">
        <v>380</v>
      </c>
      <c r="AK4" s="54">
        <v>16060</v>
      </c>
      <c r="AL4" s="54">
        <v>3520</v>
      </c>
      <c r="AM4" s="54">
        <v>780</v>
      </c>
      <c r="AN4" s="54">
        <v>15660</v>
      </c>
      <c r="AO4" s="54">
        <v>910</v>
      </c>
      <c r="AP4" s="54">
        <v>15170</v>
      </c>
      <c r="AQ4" s="54">
        <v>270</v>
      </c>
      <c r="AR4" s="54">
        <v>12970</v>
      </c>
      <c r="AS4" s="54">
        <v>44200</v>
      </c>
      <c r="AT4" s="54">
        <v>630</v>
      </c>
      <c r="AU4" s="54">
        <v>160</v>
      </c>
      <c r="AV4" s="54">
        <v>17880</v>
      </c>
      <c r="AW4" s="54">
        <v>3010</v>
      </c>
      <c r="AX4" s="54">
        <v>720</v>
      </c>
      <c r="AY4" s="54">
        <v>4250</v>
      </c>
      <c r="AZ4" s="54">
        <v>70</v>
      </c>
      <c r="BA4" s="72">
        <f t="shared" si="0"/>
        <v>459420</v>
      </c>
      <c r="BB4" s="4">
        <f t="shared" si="1"/>
        <v>25790</v>
      </c>
      <c r="BC4" s="4">
        <f t="shared" si="2"/>
        <v>10750</v>
      </c>
      <c r="BD4" s="4">
        <f t="shared" si="3"/>
        <v>20600</v>
      </c>
      <c r="BE4" s="4">
        <f t="shared" si="4"/>
        <v>70720</v>
      </c>
      <c r="BF4" s="4">
        <f t="shared" si="5"/>
        <v>61230</v>
      </c>
      <c r="BG4" s="4">
        <f t="shared" si="6"/>
        <v>44570</v>
      </c>
      <c r="BH4" s="4">
        <f t="shared" si="7"/>
        <v>12400</v>
      </c>
      <c r="BI4" s="4">
        <f t="shared" si="8"/>
        <v>55720</v>
      </c>
      <c r="BJ4" s="73">
        <f t="shared" si="9"/>
        <v>157640</v>
      </c>
    </row>
    <row r="5" spans="1:62" ht="18">
      <c r="A5" s="1">
        <v>2023</v>
      </c>
      <c r="B5" s="54">
        <v>14520</v>
      </c>
      <c r="C5" s="54">
        <v>220</v>
      </c>
      <c r="D5" s="54">
        <v>4090</v>
      </c>
      <c r="E5" s="54">
        <v>5920</v>
      </c>
      <c r="F5" s="54">
        <v>21340</v>
      </c>
      <c r="G5" s="54">
        <v>2600</v>
      </c>
      <c r="H5" s="54">
        <v>4540</v>
      </c>
      <c r="I5" s="54">
        <v>2910</v>
      </c>
      <c r="J5" s="54">
        <v>2450</v>
      </c>
      <c r="K5" s="54">
        <v>37600</v>
      </c>
      <c r="L5" s="54">
        <v>39900</v>
      </c>
      <c r="M5" s="54">
        <v>250</v>
      </c>
      <c r="N5" s="54">
        <v>300</v>
      </c>
      <c r="O5" s="54">
        <v>18840</v>
      </c>
      <c r="P5" s="54">
        <v>7950</v>
      </c>
      <c r="Q5" s="54">
        <v>2090</v>
      </c>
      <c r="R5" s="54">
        <v>2120</v>
      </c>
      <c r="S5" s="54">
        <v>4730</v>
      </c>
      <c r="T5" s="54">
        <v>17020</v>
      </c>
      <c r="U5" s="54">
        <v>530</v>
      </c>
      <c r="V5" s="54">
        <v>19910</v>
      </c>
      <c r="W5" s="54">
        <v>6230</v>
      </c>
      <c r="X5" s="54">
        <v>14450</v>
      </c>
      <c r="Y5" s="54">
        <v>6480</v>
      </c>
      <c r="Z5" s="54">
        <v>12520</v>
      </c>
      <c r="AA5" s="54">
        <v>8290</v>
      </c>
      <c r="AB5" s="54">
        <v>80</v>
      </c>
      <c r="AC5" s="54">
        <v>1420</v>
      </c>
      <c r="AD5" s="54">
        <v>3020</v>
      </c>
      <c r="AE5" s="54">
        <v>290</v>
      </c>
      <c r="AF5" s="54">
        <v>13290</v>
      </c>
      <c r="AG5" s="54">
        <v>380</v>
      </c>
      <c r="AH5" s="54">
        <v>27660</v>
      </c>
      <c r="AI5" s="54">
        <v>25410</v>
      </c>
      <c r="AJ5" s="54">
        <v>470</v>
      </c>
      <c r="AK5" s="54">
        <v>16050</v>
      </c>
      <c r="AL5" s="54">
        <v>3250</v>
      </c>
      <c r="AM5" s="54">
        <v>830</v>
      </c>
      <c r="AN5" s="54">
        <v>16020</v>
      </c>
      <c r="AO5" s="54">
        <v>920</v>
      </c>
      <c r="AP5" s="54">
        <v>15570</v>
      </c>
      <c r="AQ5" s="54">
        <v>270</v>
      </c>
      <c r="AR5" s="54">
        <v>12980</v>
      </c>
      <c r="AS5" s="54">
        <v>45560</v>
      </c>
      <c r="AT5" s="54">
        <v>630</v>
      </c>
      <c r="AU5" s="54">
        <v>210</v>
      </c>
      <c r="AV5" s="54">
        <v>18030</v>
      </c>
      <c r="AW5" s="54">
        <v>3090</v>
      </c>
      <c r="AX5" s="54">
        <v>700</v>
      </c>
      <c r="AY5" s="54">
        <v>4370</v>
      </c>
      <c r="AZ5" s="54">
        <v>60</v>
      </c>
      <c r="BA5" s="72">
        <f t="shared" si="0"/>
        <v>468360</v>
      </c>
      <c r="BB5" s="4">
        <f t="shared" si="1"/>
        <v>25730</v>
      </c>
      <c r="BC5" s="4">
        <f t="shared" si="2"/>
        <v>11160</v>
      </c>
      <c r="BD5" s="4">
        <f t="shared" si="3"/>
        <v>21140</v>
      </c>
      <c r="BE5" s="4">
        <f t="shared" si="4"/>
        <v>71750</v>
      </c>
      <c r="BF5" s="4">
        <f t="shared" si="5"/>
        <v>61660</v>
      </c>
      <c r="BG5" s="4">
        <f t="shared" si="6"/>
        <v>44750</v>
      </c>
      <c r="BH5" s="4">
        <f t="shared" si="7"/>
        <v>12720</v>
      </c>
      <c r="BI5" s="4">
        <f t="shared" si="8"/>
        <v>56970</v>
      </c>
      <c r="BJ5" s="73">
        <f t="shared" si="9"/>
        <v>162480</v>
      </c>
    </row>
    <row r="6" spans="1:62" ht="18">
      <c r="A6" s="1">
        <v>2024</v>
      </c>
      <c r="B6" s="54">
        <v>14820</v>
      </c>
      <c r="C6" s="54">
        <v>190</v>
      </c>
      <c r="D6" s="54">
        <v>4290</v>
      </c>
      <c r="E6" s="54">
        <v>5790</v>
      </c>
      <c r="F6" s="54">
        <v>21450</v>
      </c>
      <c r="G6" s="54">
        <v>2590</v>
      </c>
      <c r="H6" s="54">
        <v>4650</v>
      </c>
      <c r="I6" s="54">
        <v>2930</v>
      </c>
      <c r="J6" s="54">
        <v>2490</v>
      </c>
      <c r="K6" s="54">
        <v>39560</v>
      </c>
      <c r="L6" s="54">
        <v>41550</v>
      </c>
      <c r="M6" s="54">
        <v>220</v>
      </c>
      <c r="N6" s="54">
        <v>230</v>
      </c>
      <c r="O6" s="54">
        <v>19150</v>
      </c>
      <c r="P6" s="54">
        <v>8400</v>
      </c>
      <c r="Q6" s="54">
        <v>2230</v>
      </c>
      <c r="R6" s="54">
        <v>2230</v>
      </c>
      <c r="S6" s="54">
        <v>4690</v>
      </c>
      <c r="T6" s="54">
        <v>17440</v>
      </c>
      <c r="U6" s="54">
        <v>500</v>
      </c>
      <c r="V6" s="54">
        <v>20470</v>
      </c>
      <c r="W6" s="54">
        <v>6460</v>
      </c>
      <c r="X6" s="54">
        <v>14720</v>
      </c>
      <c r="Y6" s="54">
        <v>6780</v>
      </c>
      <c r="Z6" s="54">
        <v>12600</v>
      </c>
      <c r="AA6" s="54">
        <v>8620</v>
      </c>
      <c r="AB6" s="54">
        <v>90</v>
      </c>
      <c r="AC6" s="54">
        <v>1470</v>
      </c>
      <c r="AD6" s="54">
        <v>3170</v>
      </c>
      <c r="AE6" s="54">
        <v>320</v>
      </c>
      <c r="AF6" s="54">
        <v>13700</v>
      </c>
      <c r="AG6" s="54">
        <v>360</v>
      </c>
      <c r="AH6" s="54">
        <v>27570</v>
      </c>
      <c r="AI6" s="54">
        <v>26390</v>
      </c>
      <c r="AJ6" s="54">
        <v>500</v>
      </c>
      <c r="AK6" s="54">
        <v>17260</v>
      </c>
      <c r="AL6" s="54">
        <v>3620</v>
      </c>
      <c r="AM6" s="54">
        <v>850</v>
      </c>
      <c r="AN6" s="54">
        <v>16240</v>
      </c>
      <c r="AO6" s="54">
        <v>900</v>
      </c>
      <c r="AP6" s="54">
        <v>16210</v>
      </c>
      <c r="AQ6" s="54">
        <v>310</v>
      </c>
      <c r="AR6" s="54">
        <v>13410</v>
      </c>
      <c r="AS6" s="54">
        <v>46730</v>
      </c>
      <c r="AT6" s="54">
        <v>650</v>
      </c>
      <c r="AU6" s="54">
        <v>220</v>
      </c>
      <c r="AV6" s="54">
        <v>18390</v>
      </c>
      <c r="AW6" s="54">
        <v>3240</v>
      </c>
      <c r="AX6" s="54">
        <v>700</v>
      </c>
      <c r="AY6" s="54">
        <v>4450</v>
      </c>
      <c r="AZ6" s="54">
        <v>50</v>
      </c>
      <c r="BA6" s="72">
        <f t="shared" si="0"/>
        <v>481850</v>
      </c>
      <c r="BB6" s="4">
        <f t="shared" si="1"/>
        <v>25950</v>
      </c>
      <c r="BC6" s="4">
        <f t="shared" si="2"/>
        <v>11430</v>
      </c>
      <c r="BD6" s="4">
        <f t="shared" si="3"/>
        <v>22140</v>
      </c>
      <c r="BE6" s="4">
        <f t="shared" si="4"/>
        <v>73580</v>
      </c>
      <c r="BF6" s="4">
        <f t="shared" si="5"/>
        <v>63980</v>
      </c>
      <c r="BG6" s="4">
        <f t="shared" si="6"/>
        <v>45520</v>
      </c>
      <c r="BH6" s="4">
        <f t="shared" si="7"/>
        <v>13050</v>
      </c>
      <c r="BI6" s="4">
        <f t="shared" si="8"/>
        <v>57510</v>
      </c>
      <c r="BJ6" s="73">
        <f t="shared" si="9"/>
        <v>168690</v>
      </c>
    </row>
    <row r="7" spans="1:62" ht="18">
      <c r="A7" s="1">
        <v>2025</v>
      </c>
      <c r="B7" s="54">
        <v>15520</v>
      </c>
      <c r="C7" s="54">
        <v>190</v>
      </c>
      <c r="D7" s="54">
        <v>4380</v>
      </c>
      <c r="E7" s="54">
        <v>6490</v>
      </c>
      <c r="F7" s="54">
        <v>20690</v>
      </c>
      <c r="G7" s="54">
        <v>2720</v>
      </c>
      <c r="H7" s="54">
        <v>4710</v>
      </c>
      <c r="I7" s="54">
        <v>3030</v>
      </c>
      <c r="J7" s="54">
        <v>2740</v>
      </c>
      <c r="K7" s="54">
        <v>38210</v>
      </c>
      <c r="L7" s="54">
        <v>43630</v>
      </c>
      <c r="M7" s="54">
        <v>190</v>
      </c>
      <c r="N7" s="54">
        <v>320</v>
      </c>
      <c r="O7" s="54">
        <v>19540</v>
      </c>
      <c r="P7" s="54">
        <v>8630</v>
      </c>
      <c r="Q7" s="54">
        <v>2350</v>
      </c>
      <c r="R7" s="54">
        <v>2180</v>
      </c>
      <c r="S7" s="54">
        <v>5060</v>
      </c>
      <c r="T7" s="54">
        <v>17670</v>
      </c>
      <c r="U7" s="54">
        <v>580</v>
      </c>
      <c r="V7" s="54">
        <v>21100</v>
      </c>
      <c r="W7" s="54">
        <v>6780</v>
      </c>
      <c r="X7" s="54">
        <v>14600</v>
      </c>
      <c r="Y7" s="54">
        <v>7140</v>
      </c>
      <c r="Z7" s="54">
        <v>13920</v>
      </c>
      <c r="AA7" s="54">
        <v>8870</v>
      </c>
      <c r="AB7" s="54">
        <v>70</v>
      </c>
      <c r="AC7" s="54">
        <v>1350</v>
      </c>
      <c r="AD7" s="54">
        <v>3410</v>
      </c>
      <c r="AE7" s="54">
        <v>280</v>
      </c>
      <c r="AF7" s="54">
        <v>13990</v>
      </c>
      <c r="AG7" s="54">
        <v>400</v>
      </c>
      <c r="AH7" s="54">
        <v>27840</v>
      </c>
      <c r="AI7" s="54">
        <v>27140</v>
      </c>
      <c r="AJ7" s="54">
        <v>540</v>
      </c>
      <c r="AK7" s="54">
        <v>17870</v>
      </c>
      <c r="AL7" s="54">
        <v>3680</v>
      </c>
      <c r="AM7" s="54">
        <v>880</v>
      </c>
      <c r="AN7" s="54">
        <v>16800</v>
      </c>
      <c r="AO7" s="54">
        <v>1010</v>
      </c>
      <c r="AP7" s="54">
        <v>17270</v>
      </c>
      <c r="AQ7" s="54">
        <v>330</v>
      </c>
      <c r="AR7" s="54">
        <v>13710</v>
      </c>
      <c r="AS7" s="54">
        <v>48690</v>
      </c>
      <c r="AT7" s="54">
        <v>680</v>
      </c>
      <c r="AU7" s="54">
        <v>260</v>
      </c>
      <c r="AV7" s="54">
        <v>18870</v>
      </c>
      <c r="AW7" s="54">
        <v>3310</v>
      </c>
      <c r="AX7" s="54">
        <v>660</v>
      </c>
      <c r="AY7" s="54">
        <v>4510</v>
      </c>
      <c r="AZ7" s="54">
        <v>60</v>
      </c>
      <c r="BA7" s="72">
        <f t="shared" si="0"/>
        <v>494850</v>
      </c>
      <c r="BB7" s="4">
        <f t="shared" si="1"/>
        <v>25260</v>
      </c>
      <c r="BC7" s="4">
        <f t="shared" si="2"/>
        <v>12040</v>
      </c>
      <c r="BD7" s="4">
        <f t="shared" si="3"/>
        <v>22760</v>
      </c>
      <c r="BE7" s="4">
        <f t="shared" si="4"/>
        <v>76530</v>
      </c>
      <c r="BF7" s="4">
        <f t="shared" si="5"/>
        <v>65150</v>
      </c>
      <c r="BG7" s="4">
        <f t="shared" si="6"/>
        <v>48210</v>
      </c>
      <c r="BH7" s="4">
        <f t="shared" si="7"/>
        <v>13620</v>
      </c>
      <c r="BI7" s="4">
        <f t="shared" si="8"/>
        <v>58630</v>
      </c>
      <c r="BJ7" s="73">
        <f t="shared" si="9"/>
        <v>172650</v>
      </c>
    </row>
    <row r="8" spans="1:62" ht="18">
      <c r="A8" s="1">
        <v>2026</v>
      </c>
      <c r="B8" s="54">
        <v>15910</v>
      </c>
      <c r="C8" s="54">
        <v>200</v>
      </c>
      <c r="D8" s="54">
        <v>4480</v>
      </c>
      <c r="E8" s="54">
        <v>6640</v>
      </c>
      <c r="F8" s="54">
        <v>20380</v>
      </c>
      <c r="G8" s="54">
        <v>2670</v>
      </c>
      <c r="H8" s="54">
        <v>4580</v>
      </c>
      <c r="I8" s="54">
        <v>3110</v>
      </c>
      <c r="J8" s="54">
        <v>2780</v>
      </c>
      <c r="K8" s="54">
        <v>40190</v>
      </c>
      <c r="L8" s="54">
        <v>43710</v>
      </c>
      <c r="M8" s="54">
        <v>200</v>
      </c>
      <c r="N8" s="54">
        <v>320</v>
      </c>
      <c r="O8" s="54">
        <v>19070</v>
      </c>
      <c r="P8" s="54">
        <v>8950</v>
      </c>
      <c r="Q8" s="54">
        <v>2520</v>
      </c>
      <c r="R8" s="54">
        <v>2260</v>
      </c>
      <c r="S8" s="54">
        <v>5090</v>
      </c>
      <c r="T8" s="54">
        <v>17580</v>
      </c>
      <c r="U8" s="54">
        <v>540</v>
      </c>
      <c r="V8" s="54">
        <v>21790</v>
      </c>
      <c r="W8" s="54">
        <v>6880</v>
      </c>
      <c r="X8" s="54">
        <v>14080</v>
      </c>
      <c r="Y8" s="54">
        <v>7270</v>
      </c>
      <c r="Z8" s="54">
        <v>13730</v>
      </c>
      <c r="AA8" s="54">
        <v>8720</v>
      </c>
      <c r="AB8" s="54">
        <v>70</v>
      </c>
      <c r="AC8" s="54">
        <v>1500</v>
      </c>
      <c r="AD8" s="54">
        <v>3670</v>
      </c>
      <c r="AE8" s="54">
        <v>320</v>
      </c>
      <c r="AF8" s="54">
        <v>13950</v>
      </c>
      <c r="AG8" s="54">
        <v>420</v>
      </c>
      <c r="AH8" s="54">
        <v>27310</v>
      </c>
      <c r="AI8" s="54">
        <v>27650</v>
      </c>
      <c r="AJ8" s="54">
        <v>610</v>
      </c>
      <c r="AK8" s="54">
        <v>17380</v>
      </c>
      <c r="AL8" s="54">
        <v>3580</v>
      </c>
      <c r="AM8" s="54">
        <v>920</v>
      </c>
      <c r="AN8" s="54">
        <v>17190</v>
      </c>
      <c r="AO8" s="54">
        <v>970</v>
      </c>
      <c r="AP8" s="54">
        <v>17300</v>
      </c>
      <c r="AQ8" s="54">
        <v>330</v>
      </c>
      <c r="AR8" s="54">
        <v>13600</v>
      </c>
      <c r="AS8" s="54">
        <v>48570</v>
      </c>
      <c r="AT8" s="54">
        <v>750</v>
      </c>
      <c r="AU8" s="54">
        <v>300</v>
      </c>
      <c r="AV8" s="54">
        <v>18740</v>
      </c>
      <c r="AW8" s="54">
        <v>3300</v>
      </c>
      <c r="AX8" s="54">
        <v>620</v>
      </c>
      <c r="AY8" s="54">
        <v>4450</v>
      </c>
      <c r="AZ8" s="54">
        <v>60</v>
      </c>
      <c r="BA8" s="72">
        <f t="shared" si="0"/>
        <v>497210</v>
      </c>
      <c r="BB8" s="4">
        <f t="shared" si="1"/>
        <v>25000</v>
      </c>
      <c r="BC8" s="4">
        <f t="shared" si="2"/>
        <v>12440</v>
      </c>
      <c r="BD8" s="4">
        <f t="shared" si="3"/>
        <v>23210</v>
      </c>
      <c r="BE8" s="4">
        <f t="shared" si="4"/>
        <v>76370</v>
      </c>
      <c r="BF8" s="4">
        <f t="shared" si="5"/>
        <v>63930</v>
      </c>
      <c r="BG8" s="4">
        <f t="shared" si="6"/>
        <v>48330</v>
      </c>
      <c r="BH8" s="4">
        <f t="shared" si="7"/>
        <v>13590</v>
      </c>
      <c r="BI8" s="4">
        <f t="shared" si="8"/>
        <v>58450</v>
      </c>
      <c r="BJ8" s="73">
        <f t="shared" si="9"/>
        <v>175890</v>
      </c>
    </row>
    <row r="9" spans="1:62" ht="18">
      <c r="A9" s="1">
        <v>2027</v>
      </c>
      <c r="B9" s="54">
        <v>15450</v>
      </c>
      <c r="C9" s="54">
        <v>160</v>
      </c>
      <c r="D9" s="54">
        <v>4640</v>
      </c>
      <c r="E9" s="54">
        <v>6230</v>
      </c>
      <c r="F9" s="54">
        <v>19370</v>
      </c>
      <c r="G9" s="54">
        <v>2660</v>
      </c>
      <c r="H9" s="54">
        <v>4500</v>
      </c>
      <c r="I9" s="54">
        <v>3010</v>
      </c>
      <c r="J9" s="54">
        <v>2740</v>
      </c>
      <c r="K9" s="54">
        <v>39320</v>
      </c>
      <c r="L9" s="54">
        <v>43020</v>
      </c>
      <c r="M9" s="54">
        <v>150</v>
      </c>
      <c r="N9" s="54">
        <v>280</v>
      </c>
      <c r="O9" s="54">
        <v>18220</v>
      </c>
      <c r="P9" s="54">
        <v>8950</v>
      </c>
      <c r="Q9" s="54">
        <v>2550</v>
      </c>
      <c r="R9" s="54">
        <v>2170</v>
      </c>
      <c r="S9" s="54">
        <v>4980</v>
      </c>
      <c r="T9" s="54">
        <v>16840</v>
      </c>
      <c r="U9" s="54">
        <v>620</v>
      </c>
      <c r="V9" s="54">
        <v>21060</v>
      </c>
      <c r="W9" s="54">
        <v>6990</v>
      </c>
      <c r="X9" s="54">
        <v>14230</v>
      </c>
      <c r="Y9" s="54">
        <v>7270</v>
      </c>
      <c r="Z9" s="54">
        <v>12910</v>
      </c>
      <c r="AA9" s="54">
        <v>8490</v>
      </c>
      <c r="AB9" s="54">
        <v>60</v>
      </c>
      <c r="AC9" s="54">
        <v>1430</v>
      </c>
      <c r="AD9" s="54">
        <v>3710</v>
      </c>
      <c r="AE9" s="54">
        <v>290</v>
      </c>
      <c r="AF9" s="54">
        <v>13810</v>
      </c>
      <c r="AG9" s="54">
        <v>390</v>
      </c>
      <c r="AH9" s="54">
        <v>26770</v>
      </c>
      <c r="AI9" s="54">
        <v>27500</v>
      </c>
      <c r="AJ9" s="54">
        <v>660</v>
      </c>
      <c r="AK9" s="54">
        <v>17970</v>
      </c>
      <c r="AL9" s="54">
        <v>3680</v>
      </c>
      <c r="AM9" s="54">
        <v>900</v>
      </c>
      <c r="AN9" s="54">
        <v>16810</v>
      </c>
      <c r="AO9" s="54">
        <v>990</v>
      </c>
      <c r="AP9" s="54">
        <v>16840</v>
      </c>
      <c r="AQ9" s="54">
        <v>320</v>
      </c>
      <c r="AR9" s="54">
        <v>13190</v>
      </c>
      <c r="AS9" s="54">
        <v>48870</v>
      </c>
      <c r="AT9" s="54">
        <v>710</v>
      </c>
      <c r="AU9" s="54">
        <v>290</v>
      </c>
      <c r="AV9" s="54">
        <v>18040</v>
      </c>
      <c r="AW9" s="54">
        <v>3310</v>
      </c>
      <c r="AX9" s="54">
        <v>650</v>
      </c>
      <c r="AY9" s="54">
        <v>4440</v>
      </c>
      <c r="AZ9" s="54">
        <v>50</v>
      </c>
      <c r="BA9" s="72">
        <f t="shared" si="0"/>
        <v>488490</v>
      </c>
      <c r="BB9" s="4">
        <f t="shared" si="1"/>
        <v>23890</v>
      </c>
      <c r="BC9" s="4">
        <f t="shared" si="2"/>
        <v>12500</v>
      </c>
      <c r="BD9" s="4">
        <f t="shared" si="3"/>
        <v>22890</v>
      </c>
      <c r="BE9" s="4">
        <f t="shared" si="4"/>
        <v>75620</v>
      </c>
      <c r="BF9" s="4">
        <f t="shared" si="5"/>
        <v>63810</v>
      </c>
      <c r="BG9" s="4">
        <f t="shared" si="6"/>
        <v>46530</v>
      </c>
      <c r="BH9" s="4">
        <f t="shared" si="7"/>
        <v>13680</v>
      </c>
      <c r="BI9" s="4">
        <f t="shared" si="8"/>
        <v>57390</v>
      </c>
      <c r="BJ9" s="73">
        <f t="shared" si="9"/>
        <v>172180</v>
      </c>
    </row>
    <row r="10" spans="1:62" ht="18">
      <c r="A10" s="1">
        <v>2028</v>
      </c>
      <c r="B10" s="54">
        <v>14860</v>
      </c>
      <c r="C10" s="54">
        <v>160</v>
      </c>
      <c r="D10" s="54">
        <v>4540</v>
      </c>
      <c r="E10" s="54">
        <v>6080</v>
      </c>
      <c r="F10" s="54">
        <v>19570</v>
      </c>
      <c r="G10" s="54">
        <v>2530</v>
      </c>
      <c r="H10" s="54">
        <v>4330</v>
      </c>
      <c r="I10" s="54">
        <v>2960</v>
      </c>
      <c r="J10" s="54">
        <v>2750</v>
      </c>
      <c r="K10" s="54">
        <v>37920</v>
      </c>
      <c r="L10" s="54">
        <v>40960</v>
      </c>
      <c r="M10" s="54">
        <v>150</v>
      </c>
      <c r="N10" s="54">
        <v>290</v>
      </c>
      <c r="O10" s="54">
        <v>17680</v>
      </c>
      <c r="P10" s="54">
        <v>8350</v>
      </c>
      <c r="Q10" s="54">
        <v>2610</v>
      </c>
      <c r="R10" s="54">
        <v>2090</v>
      </c>
      <c r="S10" s="54">
        <v>4760</v>
      </c>
      <c r="T10" s="54">
        <v>15990</v>
      </c>
      <c r="U10" s="54">
        <v>600</v>
      </c>
      <c r="V10" s="54">
        <v>20370</v>
      </c>
      <c r="W10" s="54">
        <v>6640</v>
      </c>
      <c r="X10" s="54">
        <v>14040</v>
      </c>
      <c r="Y10" s="54">
        <v>7400</v>
      </c>
      <c r="Z10" s="54">
        <v>11670</v>
      </c>
      <c r="AA10" s="54">
        <v>8140</v>
      </c>
      <c r="AB10" s="54">
        <v>60</v>
      </c>
      <c r="AC10" s="54">
        <v>1400</v>
      </c>
      <c r="AD10" s="54">
        <v>3760</v>
      </c>
      <c r="AE10" s="54">
        <v>300</v>
      </c>
      <c r="AF10" s="54">
        <v>13070</v>
      </c>
      <c r="AG10" s="54">
        <v>350</v>
      </c>
      <c r="AH10" s="54">
        <v>25530</v>
      </c>
      <c r="AI10" s="54">
        <v>25840</v>
      </c>
      <c r="AJ10" s="54">
        <v>670</v>
      </c>
      <c r="AK10" s="54">
        <v>17390</v>
      </c>
      <c r="AL10" s="54">
        <v>3340</v>
      </c>
      <c r="AM10" s="54">
        <v>850</v>
      </c>
      <c r="AN10" s="54">
        <v>16330</v>
      </c>
      <c r="AO10" s="54">
        <v>950</v>
      </c>
      <c r="AP10" s="54">
        <v>15740</v>
      </c>
      <c r="AQ10" s="54">
        <v>340</v>
      </c>
      <c r="AR10" s="54">
        <v>12630</v>
      </c>
      <c r="AS10" s="54">
        <v>47120</v>
      </c>
      <c r="AT10" s="54">
        <v>710</v>
      </c>
      <c r="AU10" s="54">
        <v>330</v>
      </c>
      <c r="AV10" s="54">
        <v>17600</v>
      </c>
      <c r="AW10" s="54">
        <v>3160</v>
      </c>
      <c r="AX10" s="54">
        <v>600</v>
      </c>
      <c r="AY10" s="54">
        <v>4110</v>
      </c>
      <c r="AZ10" s="54">
        <v>50</v>
      </c>
      <c r="BA10" s="72">
        <f t="shared" si="0"/>
        <v>469670</v>
      </c>
      <c r="BB10" s="4">
        <f t="shared" si="1"/>
        <v>23890</v>
      </c>
      <c r="BC10" s="4">
        <f t="shared" si="2"/>
        <v>12290</v>
      </c>
      <c r="BD10" s="4">
        <f t="shared" si="3"/>
        <v>22650</v>
      </c>
      <c r="BE10" s="4">
        <f t="shared" si="4"/>
        <v>72530</v>
      </c>
      <c r="BF10" s="4">
        <f t="shared" si="5"/>
        <v>61570</v>
      </c>
      <c r="BG10" s="4">
        <f t="shared" si="6"/>
        <v>43920</v>
      </c>
      <c r="BH10" s="4">
        <f t="shared" si="7"/>
        <v>13150</v>
      </c>
      <c r="BI10" s="4">
        <f t="shared" si="8"/>
        <v>54930</v>
      </c>
      <c r="BJ10" s="73">
        <f t="shared" si="9"/>
        <v>164740</v>
      </c>
    </row>
  </sheetData>
  <sheetProtection algorithmName="SHA-512" hashValue="P/vEXkoVvWHKVdUGfYzveII7ryXffZK6uI3s1ejo1DvKDJ2UgMzK5zX0taZ9VcBgz2iXHJXDDs5l043UlZxamQ==" saltValue="d1yvmXP3aR4O/GgQ3/yJ1g==" spinCount="100000" sheet="1" objects="1" scenarios="1" selectLockedCells="1" selectUnlockedCell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DE06-A62A-431A-80C7-34D9CCF77F38}">
  <sheetPr codeName="Sheet19"/>
  <dimension ref="A1:BJ10"/>
  <sheetViews>
    <sheetView topLeftCell="AA1" workbookViewId="0">
      <selection activeCell="BA1" sqref="BA1:BJ1"/>
    </sheetView>
  </sheetViews>
  <sheetFormatPr defaultRowHeight="15"/>
  <sheetData>
    <row r="1" spans="1:62">
      <c r="A1" s="1" t="s">
        <v>113</v>
      </c>
      <c r="B1" t="s">
        <v>1</v>
      </c>
      <c r="C1" t="s">
        <v>107</v>
      </c>
      <c r="D1" t="s">
        <v>98</v>
      </c>
      <c r="E1" t="s">
        <v>93</v>
      </c>
      <c r="F1" t="s">
        <v>109</v>
      </c>
      <c r="G1" t="s">
        <v>100</v>
      </c>
      <c r="H1" t="s">
        <v>54</v>
      </c>
      <c r="I1" t="s">
        <v>79</v>
      </c>
      <c r="J1" t="s">
        <v>87</v>
      </c>
      <c r="K1" t="s">
        <v>81</v>
      </c>
      <c r="L1" t="s">
        <v>82</v>
      </c>
      <c r="M1" t="s">
        <v>110</v>
      </c>
      <c r="N1" t="s">
        <v>101</v>
      </c>
      <c r="O1" t="s">
        <v>65</v>
      </c>
      <c r="P1" t="s">
        <v>67</v>
      </c>
      <c r="Q1" t="s">
        <v>71</v>
      </c>
      <c r="R1" t="s">
        <v>73</v>
      </c>
      <c r="S1" t="s">
        <v>90</v>
      </c>
      <c r="T1" t="s">
        <v>95</v>
      </c>
      <c r="U1" t="s">
        <v>56</v>
      </c>
      <c r="V1" t="s">
        <v>83</v>
      </c>
      <c r="W1" t="s">
        <v>57</v>
      </c>
      <c r="X1" t="s">
        <v>68</v>
      </c>
      <c r="Y1" t="s">
        <v>74</v>
      </c>
      <c r="Z1" t="s">
        <v>91</v>
      </c>
      <c r="AA1" t="s">
        <v>75</v>
      </c>
      <c r="AB1" t="s">
        <v>102</v>
      </c>
      <c r="AC1" t="s">
        <v>76</v>
      </c>
      <c r="AD1" t="s">
        <v>103</v>
      </c>
      <c r="AE1" t="s">
        <v>58</v>
      </c>
      <c r="AF1" t="s">
        <v>61</v>
      </c>
      <c r="AG1" t="s">
        <v>104</v>
      </c>
      <c r="AH1" t="s">
        <v>63</v>
      </c>
      <c r="AI1" t="s">
        <v>84</v>
      </c>
      <c r="AJ1" t="s">
        <v>77</v>
      </c>
      <c r="AK1" t="s">
        <v>69</v>
      </c>
      <c r="AL1" t="s">
        <v>96</v>
      </c>
      <c r="AM1" t="s">
        <v>111</v>
      </c>
      <c r="AN1" t="s">
        <v>64</v>
      </c>
      <c r="AO1" t="s">
        <v>59</v>
      </c>
      <c r="AP1" t="s">
        <v>85</v>
      </c>
      <c r="AQ1" t="s">
        <v>78</v>
      </c>
      <c r="AR1" t="s">
        <v>92</v>
      </c>
      <c r="AS1" t="s">
        <v>97</v>
      </c>
      <c r="AT1" t="s">
        <v>105</v>
      </c>
      <c r="AU1" t="s">
        <v>60</v>
      </c>
      <c r="AV1" t="s">
        <v>86</v>
      </c>
      <c r="AW1" t="s">
        <v>112</v>
      </c>
      <c r="AX1" t="s">
        <v>88</v>
      </c>
      <c r="AY1" t="s">
        <v>70</v>
      </c>
      <c r="AZ1" t="s">
        <v>106</v>
      </c>
      <c r="BA1" s="1" t="s">
        <v>40</v>
      </c>
      <c r="BB1" s="1" t="s">
        <v>108</v>
      </c>
      <c r="BC1" s="1" t="s">
        <v>99</v>
      </c>
      <c r="BD1" s="1" t="s">
        <v>72</v>
      </c>
      <c r="BE1" s="1" t="s">
        <v>94</v>
      </c>
      <c r="BF1" s="1" t="s">
        <v>66</v>
      </c>
      <c r="BG1" s="1" t="s">
        <v>89</v>
      </c>
      <c r="BH1" s="1" t="s">
        <v>55</v>
      </c>
      <c r="BI1" s="1" t="s">
        <v>62</v>
      </c>
      <c r="BJ1" s="1" t="s">
        <v>80</v>
      </c>
    </row>
    <row r="2" spans="1:62">
      <c r="A2" s="1">
        <v>2020</v>
      </c>
      <c r="B2" s="55">
        <v>3230</v>
      </c>
      <c r="C2" s="56">
        <v>520</v>
      </c>
      <c r="D2" s="55">
        <v>31230</v>
      </c>
      <c r="E2" s="55">
        <v>3520</v>
      </c>
      <c r="F2" s="55">
        <v>228290</v>
      </c>
      <c r="G2" s="55">
        <v>18510</v>
      </c>
      <c r="H2" s="55">
        <v>8040</v>
      </c>
      <c r="I2" s="55">
        <v>1520</v>
      </c>
      <c r="J2" s="56">
        <v>710</v>
      </c>
      <c r="K2" s="55">
        <v>58690</v>
      </c>
      <c r="L2" s="55">
        <v>16500</v>
      </c>
      <c r="M2" s="56">
        <v>550</v>
      </c>
      <c r="N2" s="55">
        <v>3310</v>
      </c>
      <c r="O2" s="55">
        <v>33710</v>
      </c>
      <c r="P2" s="55">
        <v>8000</v>
      </c>
      <c r="Q2" s="55">
        <v>3470</v>
      </c>
      <c r="R2" s="55">
        <v>6130</v>
      </c>
      <c r="S2" s="55">
        <v>2820</v>
      </c>
      <c r="T2" s="55">
        <v>2820</v>
      </c>
      <c r="U2" s="56">
        <v>270</v>
      </c>
      <c r="V2" s="55">
        <v>9900</v>
      </c>
      <c r="W2" s="55">
        <v>10890</v>
      </c>
      <c r="X2" s="55">
        <v>7040</v>
      </c>
      <c r="Y2" s="55">
        <v>4740</v>
      </c>
      <c r="Z2" s="56">
        <v>890</v>
      </c>
      <c r="AA2" s="55">
        <v>3450</v>
      </c>
      <c r="AB2" s="56">
        <v>390</v>
      </c>
      <c r="AC2" s="55">
        <v>4000</v>
      </c>
      <c r="AD2" s="55">
        <v>11830</v>
      </c>
      <c r="AE2" s="56">
        <v>680</v>
      </c>
      <c r="AF2" s="55">
        <v>24580</v>
      </c>
      <c r="AG2" s="55">
        <v>11890</v>
      </c>
      <c r="AH2" s="55">
        <v>43220</v>
      </c>
      <c r="AI2" s="55">
        <v>17060</v>
      </c>
      <c r="AJ2" s="55">
        <v>17060</v>
      </c>
      <c r="AK2" s="55">
        <v>5860</v>
      </c>
      <c r="AL2" s="55">
        <v>7010</v>
      </c>
      <c r="AM2" s="55">
        <v>8510</v>
      </c>
      <c r="AN2" s="55">
        <v>12870</v>
      </c>
      <c r="AO2" s="55">
        <v>2420</v>
      </c>
      <c r="AP2" s="55">
        <v>4280</v>
      </c>
      <c r="AQ2" s="56">
        <v>410</v>
      </c>
      <c r="AR2" s="55">
        <v>6130</v>
      </c>
      <c r="AS2" s="55">
        <v>181310</v>
      </c>
      <c r="AT2" s="55">
        <v>6960</v>
      </c>
      <c r="AU2" s="56">
        <v>140</v>
      </c>
      <c r="AV2" s="55">
        <v>12260</v>
      </c>
      <c r="AW2" s="55">
        <v>13860</v>
      </c>
      <c r="AX2" s="56">
        <v>340</v>
      </c>
      <c r="AY2" s="55">
        <v>6270</v>
      </c>
      <c r="AZ2" s="56">
        <v>710</v>
      </c>
      <c r="BA2" s="72">
        <f>SUM(B2:AZ2)</f>
        <v>868800</v>
      </c>
      <c r="BB2" s="4">
        <f>C2+F2+M2+AM2+AW2</f>
        <v>251730</v>
      </c>
      <c r="BC2" s="4">
        <f>D2+G2+N2+AB2+AD2+AG2+AT2+AZ2</f>
        <v>84830</v>
      </c>
      <c r="BD2" s="4">
        <f>Q2+R2+Y2+AA2+AC2+AJ2+AQ2</f>
        <v>39260</v>
      </c>
      <c r="BE2" s="4">
        <f>E2+T2+AL2+AS2</f>
        <v>194660</v>
      </c>
      <c r="BF2" s="4">
        <f>O2+P2+X2+AK2+AY2</f>
        <v>60880</v>
      </c>
      <c r="BG2" s="4">
        <f>B2+S2+Z2+AR2</f>
        <v>13070</v>
      </c>
      <c r="BH2" s="4">
        <f>H2+U2+W2+AE2+AO2+AU2</f>
        <v>22440</v>
      </c>
      <c r="BI2" s="4">
        <f>AF2+AH2+AN2</f>
        <v>80670</v>
      </c>
      <c r="BJ2" s="73">
        <f>I2+K2+J2+L2+V2+AI2+AP2+AV2+AX2</f>
        <v>121260</v>
      </c>
    </row>
    <row r="3" spans="1:62">
      <c r="A3" s="1">
        <v>2021</v>
      </c>
      <c r="B3" s="55">
        <v>3660</v>
      </c>
      <c r="C3" s="56">
        <v>510</v>
      </c>
      <c r="D3" s="55">
        <v>32670</v>
      </c>
      <c r="E3" s="55">
        <v>3990</v>
      </c>
      <c r="F3" s="55">
        <v>232600</v>
      </c>
      <c r="G3" s="55">
        <v>18940</v>
      </c>
      <c r="H3" s="55">
        <v>8410</v>
      </c>
      <c r="I3" s="55">
        <v>1590</v>
      </c>
      <c r="J3" s="56">
        <v>700</v>
      </c>
      <c r="K3" s="55">
        <v>60470</v>
      </c>
      <c r="L3" s="55">
        <v>16510</v>
      </c>
      <c r="M3" s="56">
        <v>560</v>
      </c>
      <c r="N3" s="55">
        <v>3400</v>
      </c>
      <c r="O3" s="55">
        <v>34230</v>
      </c>
      <c r="P3" s="55">
        <v>8080</v>
      </c>
      <c r="Q3" s="55">
        <v>3500</v>
      </c>
      <c r="R3" s="55">
        <v>6370</v>
      </c>
      <c r="S3" s="55">
        <v>2900</v>
      </c>
      <c r="T3" s="55">
        <v>2900</v>
      </c>
      <c r="U3" s="56">
        <v>270</v>
      </c>
      <c r="V3" s="55">
        <v>9780</v>
      </c>
      <c r="W3" s="55">
        <v>11100</v>
      </c>
      <c r="X3" s="55">
        <v>7190</v>
      </c>
      <c r="Y3" s="55">
        <v>4950</v>
      </c>
      <c r="Z3" s="55">
        <v>1050</v>
      </c>
      <c r="AA3" s="55">
        <v>3620</v>
      </c>
      <c r="AB3" s="56">
        <v>390</v>
      </c>
      <c r="AC3" s="55">
        <v>4040</v>
      </c>
      <c r="AD3" s="55">
        <v>11990</v>
      </c>
      <c r="AE3" s="56">
        <v>700</v>
      </c>
      <c r="AF3" s="55">
        <v>25060</v>
      </c>
      <c r="AG3" s="55">
        <v>11920</v>
      </c>
      <c r="AH3" s="55">
        <v>42330</v>
      </c>
      <c r="AI3" s="55">
        <v>17560</v>
      </c>
      <c r="AJ3" s="55">
        <v>17560</v>
      </c>
      <c r="AK3" s="55">
        <v>6190</v>
      </c>
      <c r="AL3" s="55">
        <v>7480</v>
      </c>
      <c r="AM3" s="55">
        <v>8700</v>
      </c>
      <c r="AN3" s="55">
        <v>13380</v>
      </c>
      <c r="AO3" s="55">
        <v>2470</v>
      </c>
      <c r="AP3" s="55">
        <v>4680</v>
      </c>
      <c r="AQ3" s="56">
        <v>460</v>
      </c>
      <c r="AR3" s="55">
        <v>6320</v>
      </c>
      <c r="AS3" s="55">
        <v>183880</v>
      </c>
      <c r="AT3" s="55">
        <v>7330</v>
      </c>
      <c r="AU3" s="56">
        <v>120</v>
      </c>
      <c r="AV3" s="55">
        <v>12200</v>
      </c>
      <c r="AW3" s="55">
        <v>14570</v>
      </c>
      <c r="AX3" s="56">
        <v>340</v>
      </c>
      <c r="AY3" s="55">
        <v>6730</v>
      </c>
      <c r="AZ3" s="56">
        <v>760</v>
      </c>
      <c r="BA3" s="72">
        <f t="shared" ref="BA3:BA10" si="0">SUM(B3:AZ3)</f>
        <v>887110</v>
      </c>
      <c r="BB3" s="4">
        <f t="shared" ref="BB3:BB10" si="1">C3+F3+M3+AM3+AW3</f>
        <v>256940</v>
      </c>
      <c r="BC3" s="4">
        <f t="shared" ref="BC3:BC10" si="2">D3+G3+N3+AB3+AD3+AG3+AT3+AZ3</f>
        <v>87400</v>
      </c>
      <c r="BD3" s="4">
        <f t="shared" ref="BD3:BD10" si="3">Q3+R3+Y3+AA3+AC3+AJ3+AQ3</f>
        <v>40500</v>
      </c>
      <c r="BE3" s="4">
        <f t="shared" ref="BE3:BE10" si="4">E3+T3+AL3+AS3</f>
        <v>198250</v>
      </c>
      <c r="BF3" s="4">
        <f t="shared" ref="BF3:BF10" si="5">O3+P3+X3+AK3+AY3</f>
        <v>62420</v>
      </c>
      <c r="BG3" s="4">
        <f t="shared" ref="BG3:BG10" si="6">B3+S3+Z3+AR3</f>
        <v>13930</v>
      </c>
      <c r="BH3" s="4">
        <f t="shared" ref="BH3:BH10" si="7">H3+U3+W3+AE3+AO3+AU3</f>
        <v>23070</v>
      </c>
      <c r="BI3" s="4">
        <f t="shared" ref="BI3:BI10" si="8">AF3+AH3+AN3</f>
        <v>80770</v>
      </c>
      <c r="BJ3" s="73">
        <f t="shared" ref="BJ3:BJ10" si="9">I3+K3+J3+L3+V3+AI3+AP3+AV3+AX3</f>
        <v>123830</v>
      </c>
    </row>
    <row r="4" spans="1:62">
      <c r="A4" s="1">
        <v>2022</v>
      </c>
      <c r="B4" s="55">
        <v>3960</v>
      </c>
      <c r="C4" s="56">
        <v>480</v>
      </c>
      <c r="D4" s="55">
        <v>33120</v>
      </c>
      <c r="E4" s="55">
        <v>4050</v>
      </c>
      <c r="F4" s="55">
        <v>232540</v>
      </c>
      <c r="G4" s="55">
        <v>19170</v>
      </c>
      <c r="H4" s="55">
        <v>8410</v>
      </c>
      <c r="I4" s="55">
        <v>1590</v>
      </c>
      <c r="J4" s="56">
        <v>590</v>
      </c>
      <c r="K4" s="55">
        <v>62910</v>
      </c>
      <c r="L4" s="55">
        <v>16920</v>
      </c>
      <c r="M4" s="56">
        <v>560</v>
      </c>
      <c r="N4" s="55">
        <v>3650</v>
      </c>
      <c r="O4" s="55">
        <v>34630</v>
      </c>
      <c r="P4" s="55">
        <v>8750</v>
      </c>
      <c r="Q4" s="55">
        <v>3700</v>
      </c>
      <c r="R4" s="55">
        <v>6470</v>
      </c>
      <c r="S4" s="55">
        <v>3110</v>
      </c>
      <c r="T4" s="55">
        <v>3110</v>
      </c>
      <c r="U4" s="56">
        <v>290</v>
      </c>
      <c r="V4" s="55">
        <v>9900</v>
      </c>
      <c r="W4" s="55">
        <v>11470</v>
      </c>
      <c r="X4" s="55">
        <v>7490</v>
      </c>
      <c r="Y4" s="55">
        <v>5500</v>
      </c>
      <c r="Z4" s="55">
        <v>1140</v>
      </c>
      <c r="AA4" s="55">
        <v>3710</v>
      </c>
      <c r="AB4" s="56">
        <v>390</v>
      </c>
      <c r="AC4" s="55">
        <v>4300</v>
      </c>
      <c r="AD4" s="55">
        <v>12620</v>
      </c>
      <c r="AE4" s="56">
        <v>710</v>
      </c>
      <c r="AF4" s="55">
        <v>26210</v>
      </c>
      <c r="AG4" s="55">
        <v>12270</v>
      </c>
      <c r="AH4" s="55">
        <v>42120</v>
      </c>
      <c r="AI4" s="55">
        <v>17030</v>
      </c>
      <c r="AJ4" s="55">
        <v>17030</v>
      </c>
      <c r="AK4" s="55">
        <v>6570</v>
      </c>
      <c r="AL4" s="55">
        <v>7710</v>
      </c>
      <c r="AM4" s="55">
        <v>8790</v>
      </c>
      <c r="AN4" s="55">
        <v>14190</v>
      </c>
      <c r="AO4" s="55">
        <v>2510</v>
      </c>
      <c r="AP4" s="55">
        <v>4910</v>
      </c>
      <c r="AQ4" s="56">
        <v>520</v>
      </c>
      <c r="AR4" s="55">
        <v>6810</v>
      </c>
      <c r="AS4" s="55">
        <v>185650</v>
      </c>
      <c r="AT4" s="55">
        <v>7450</v>
      </c>
      <c r="AU4" s="56">
        <v>160</v>
      </c>
      <c r="AV4" s="55">
        <v>12800</v>
      </c>
      <c r="AW4" s="55">
        <v>15100</v>
      </c>
      <c r="AX4" s="56">
        <v>390</v>
      </c>
      <c r="AY4" s="55">
        <v>6770</v>
      </c>
      <c r="AZ4" s="56">
        <v>760</v>
      </c>
      <c r="BA4" s="72">
        <f t="shared" si="0"/>
        <v>900990</v>
      </c>
      <c r="BB4" s="4">
        <f t="shared" si="1"/>
        <v>257470</v>
      </c>
      <c r="BC4" s="4">
        <f t="shared" si="2"/>
        <v>89430</v>
      </c>
      <c r="BD4" s="4">
        <f t="shared" si="3"/>
        <v>41230</v>
      </c>
      <c r="BE4" s="4">
        <f t="shared" si="4"/>
        <v>200520</v>
      </c>
      <c r="BF4" s="4">
        <f t="shared" si="5"/>
        <v>64210</v>
      </c>
      <c r="BG4" s="4">
        <f t="shared" si="6"/>
        <v>15020</v>
      </c>
      <c r="BH4" s="4">
        <f t="shared" si="7"/>
        <v>23550</v>
      </c>
      <c r="BI4" s="4">
        <f t="shared" si="8"/>
        <v>82520</v>
      </c>
      <c r="BJ4" s="73">
        <f t="shared" si="9"/>
        <v>127040</v>
      </c>
    </row>
    <row r="5" spans="1:62">
      <c r="A5" s="1">
        <v>2023</v>
      </c>
      <c r="B5" s="55">
        <v>4280</v>
      </c>
      <c r="C5" s="56">
        <v>540</v>
      </c>
      <c r="D5" s="55">
        <v>33740</v>
      </c>
      <c r="E5" s="55">
        <v>4100</v>
      </c>
      <c r="F5" s="55">
        <v>239460</v>
      </c>
      <c r="G5" s="55">
        <v>19810</v>
      </c>
      <c r="H5" s="55">
        <v>9200</v>
      </c>
      <c r="I5" s="55">
        <v>1800</v>
      </c>
      <c r="J5" s="56">
        <v>740</v>
      </c>
      <c r="K5" s="55">
        <v>66020</v>
      </c>
      <c r="L5" s="55">
        <v>18460</v>
      </c>
      <c r="M5" s="56">
        <v>590</v>
      </c>
      <c r="N5" s="55">
        <v>3980</v>
      </c>
      <c r="O5" s="55">
        <v>35340</v>
      </c>
      <c r="P5" s="55">
        <v>8970</v>
      </c>
      <c r="Q5" s="55">
        <v>3980</v>
      </c>
      <c r="R5" s="55">
        <v>6700</v>
      </c>
      <c r="S5" s="55">
        <v>3460</v>
      </c>
      <c r="T5" s="55">
        <v>3460</v>
      </c>
      <c r="U5" s="56">
        <v>310</v>
      </c>
      <c r="V5" s="55">
        <v>11380</v>
      </c>
      <c r="W5" s="55">
        <v>12270</v>
      </c>
      <c r="X5" s="55">
        <v>8050</v>
      </c>
      <c r="Y5" s="55">
        <v>5570</v>
      </c>
      <c r="Z5" s="55">
        <v>1150</v>
      </c>
      <c r="AA5" s="55">
        <v>4120</v>
      </c>
      <c r="AB5" s="56">
        <v>450</v>
      </c>
      <c r="AC5" s="55">
        <v>4350</v>
      </c>
      <c r="AD5" s="55">
        <v>13140</v>
      </c>
      <c r="AE5" s="56">
        <v>840</v>
      </c>
      <c r="AF5" s="55">
        <v>27850</v>
      </c>
      <c r="AG5" s="55">
        <v>12400</v>
      </c>
      <c r="AH5" s="55">
        <v>45080</v>
      </c>
      <c r="AI5" s="55">
        <v>19660</v>
      </c>
      <c r="AJ5" s="55">
        <v>19660</v>
      </c>
      <c r="AK5" s="55">
        <v>7230</v>
      </c>
      <c r="AL5" s="55">
        <v>7500</v>
      </c>
      <c r="AM5" s="55">
        <v>9320</v>
      </c>
      <c r="AN5" s="55">
        <v>15320</v>
      </c>
      <c r="AO5" s="55">
        <v>2640</v>
      </c>
      <c r="AP5" s="55">
        <v>5530</v>
      </c>
      <c r="AQ5" s="56">
        <v>700</v>
      </c>
      <c r="AR5" s="55">
        <v>7930</v>
      </c>
      <c r="AS5" s="55">
        <v>191470</v>
      </c>
      <c r="AT5" s="55">
        <v>7800</v>
      </c>
      <c r="AU5" s="56">
        <v>160</v>
      </c>
      <c r="AV5" s="55">
        <v>14000</v>
      </c>
      <c r="AW5" s="55">
        <v>15910</v>
      </c>
      <c r="AX5" s="56">
        <v>430</v>
      </c>
      <c r="AY5" s="55">
        <v>7150</v>
      </c>
      <c r="AZ5" s="56">
        <v>840</v>
      </c>
      <c r="BA5" s="72">
        <f t="shared" si="0"/>
        <v>944840</v>
      </c>
      <c r="BB5" s="4">
        <f t="shared" si="1"/>
        <v>265820</v>
      </c>
      <c r="BC5" s="4">
        <f t="shared" si="2"/>
        <v>92160</v>
      </c>
      <c r="BD5" s="4">
        <f t="shared" si="3"/>
        <v>45080</v>
      </c>
      <c r="BE5" s="4">
        <f t="shared" si="4"/>
        <v>206530</v>
      </c>
      <c r="BF5" s="4">
        <f t="shared" si="5"/>
        <v>66740</v>
      </c>
      <c r="BG5" s="4">
        <f t="shared" si="6"/>
        <v>16820</v>
      </c>
      <c r="BH5" s="4">
        <f t="shared" si="7"/>
        <v>25420</v>
      </c>
      <c r="BI5" s="4">
        <f t="shared" si="8"/>
        <v>88250</v>
      </c>
      <c r="BJ5" s="73">
        <f t="shared" si="9"/>
        <v>138020</v>
      </c>
    </row>
    <row r="6" spans="1:62">
      <c r="A6" s="1">
        <v>2024</v>
      </c>
      <c r="B6" s="55">
        <v>4910</v>
      </c>
      <c r="C6" s="56">
        <v>570</v>
      </c>
      <c r="D6" s="55">
        <v>35060</v>
      </c>
      <c r="E6" s="55">
        <v>4490</v>
      </c>
      <c r="F6" s="55">
        <v>248380</v>
      </c>
      <c r="G6" s="55">
        <v>20000</v>
      </c>
      <c r="H6" s="55">
        <v>9620</v>
      </c>
      <c r="I6" s="55">
        <v>1910</v>
      </c>
      <c r="J6" s="56">
        <v>870</v>
      </c>
      <c r="K6" s="55">
        <v>72150</v>
      </c>
      <c r="L6" s="55">
        <v>19960</v>
      </c>
      <c r="M6" s="55">
        <v>1030</v>
      </c>
      <c r="N6" s="55">
        <v>4000</v>
      </c>
      <c r="O6" s="55">
        <v>35950</v>
      </c>
      <c r="P6" s="55">
        <v>9580</v>
      </c>
      <c r="Q6" s="55">
        <v>4290</v>
      </c>
      <c r="R6" s="55">
        <v>6970</v>
      </c>
      <c r="S6" s="55">
        <v>3930</v>
      </c>
      <c r="T6" s="55">
        <v>3930</v>
      </c>
      <c r="U6" s="56">
        <v>340</v>
      </c>
      <c r="V6" s="55">
        <v>12680</v>
      </c>
      <c r="W6" s="55">
        <v>13330</v>
      </c>
      <c r="X6" s="55">
        <v>8090</v>
      </c>
      <c r="Y6" s="55">
        <v>6060</v>
      </c>
      <c r="Z6" s="55">
        <v>1240</v>
      </c>
      <c r="AA6" s="55">
        <v>4340</v>
      </c>
      <c r="AB6" s="56">
        <v>460</v>
      </c>
      <c r="AC6" s="55">
        <v>4570</v>
      </c>
      <c r="AD6" s="55">
        <v>13610</v>
      </c>
      <c r="AE6" s="56">
        <v>860</v>
      </c>
      <c r="AF6" s="55">
        <v>29270</v>
      </c>
      <c r="AG6" s="55">
        <v>12290</v>
      </c>
      <c r="AH6" s="55">
        <v>47320</v>
      </c>
      <c r="AI6" s="55">
        <v>21300</v>
      </c>
      <c r="AJ6" s="55">
        <v>21300</v>
      </c>
      <c r="AK6" s="55">
        <v>8020</v>
      </c>
      <c r="AL6" s="55">
        <v>8710</v>
      </c>
      <c r="AM6" s="55">
        <v>9870</v>
      </c>
      <c r="AN6" s="55">
        <v>16340</v>
      </c>
      <c r="AO6" s="55">
        <v>2870</v>
      </c>
      <c r="AP6" s="55">
        <v>6240</v>
      </c>
      <c r="AQ6" s="56">
        <v>670</v>
      </c>
      <c r="AR6" s="55">
        <v>8840</v>
      </c>
      <c r="AS6" s="55">
        <v>194310</v>
      </c>
      <c r="AT6" s="55">
        <v>8100</v>
      </c>
      <c r="AU6" s="56">
        <v>190</v>
      </c>
      <c r="AV6" s="55">
        <v>15310</v>
      </c>
      <c r="AW6" s="55">
        <v>16980</v>
      </c>
      <c r="AX6" s="56">
        <v>430</v>
      </c>
      <c r="AY6" s="55">
        <v>7660</v>
      </c>
      <c r="AZ6" s="56">
        <v>810</v>
      </c>
      <c r="BA6" s="72">
        <f t="shared" si="0"/>
        <v>990010</v>
      </c>
      <c r="BB6" s="4">
        <f t="shared" si="1"/>
        <v>276830</v>
      </c>
      <c r="BC6" s="4">
        <f t="shared" si="2"/>
        <v>94330</v>
      </c>
      <c r="BD6" s="4">
        <f t="shared" si="3"/>
        <v>48200</v>
      </c>
      <c r="BE6" s="4">
        <f t="shared" si="4"/>
        <v>211440</v>
      </c>
      <c r="BF6" s="4">
        <f t="shared" si="5"/>
        <v>69300</v>
      </c>
      <c r="BG6" s="4">
        <f t="shared" si="6"/>
        <v>18920</v>
      </c>
      <c r="BH6" s="4">
        <f t="shared" si="7"/>
        <v>27210</v>
      </c>
      <c r="BI6" s="4">
        <f t="shared" si="8"/>
        <v>92930</v>
      </c>
      <c r="BJ6" s="73">
        <f t="shared" si="9"/>
        <v>150850</v>
      </c>
    </row>
    <row r="7" spans="1:62">
      <c r="A7" s="1">
        <v>2025</v>
      </c>
      <c r="B7" s="55">
        <v>5690</v>
      </c>
      <c r="C7" s="56">
        <v>550</v>
      </c>
      <c r="D7" s="55">
        <v>36350</v>
      </c>
      <c r="E7" s="55">
        <v>4840</v>
      </c>
      <c r="F7" s="55">
        <v>240490</v>
      </c>
      <c r="G7" s="55">
        <v>20610</v>
      </c>
      <c r="H7" s="55">
        <v>10280</v>
      </c>
      <c r="I7" s="55">
        <v>1890</v>
      </c>
      <c r="J7" s="55">
        <v>1020</v>
      </c>
      <c r="K7" s="55">
        <v>73630</v>
      </c>
      <c r="L7" s="55">
        <v>21100</v>
      </c>
      <c r="M7" s="55">
        <v>1240</v>
      </c>
      <c r="N7" s="55">
        <v>4280</v>
      </c>
      <c r="O7" s="55">
        <v>36850</v>
      </c>
      <c r="P7" s="55">
        <v>10450</v>
      </c>
      <c r="Q7" s="55">
        <v>4370</v>
      </c>
      <c r="R7" s="55">
        <v>7140</v>
      </c>
      <c r="S7" s="55">
        <v>4240</v>
      </c>
      <c r="T7" s="55">
        <v>4240</v>
      </c>
      <c r="U7" s="56">
        <v>370</v>
      </c>
      <c r="V7" s="55">
        <v>14090</v>
      </c>
      <c r="W7" s="55">
        <v>14130</v>
      </c>
      <c r="X7" s="55">
        <v>8410</v>
      </c>
      <c r="Y7" s="55">
        <v>6370</v>
      </c>
      <c r="Z7" s="55">
        <v>1460</v>
      </c>
      <c r="AA7" s="55">
        <v>4630</v>
      </c>
      <c r="AB7" s="56">
        <v>520</v>
      </c>
      <c r="AC7" s="55">
        <v>4400</v>
      </c>
      <c r="AD7" s="55">
        <v>14450</v>
      </c>
      <c r="AE7" s="56">
        <v>960</v>
      </c>
      <c r="AF7" s="55">
        <v>31190</v>
      </c>
      <c r="AG7" s="55">
        <v>12780</v>
      </c>
      <c r="AH7" s="55">
        <v>49310</v>
      </c>
      <c r="AI7" s="55">
        <v>22950</v>
      </c>
      <c r="AJ7" s="55">
        <v>22950</v>
      </c>
      <c r="AK7" s="55">
        <v>8420</v>
      </c>
      <c r="AL7" s="55">
        <v>9300</v>
      </c>
      <c r="AM7" s="55">
        <v>10190</v>
      </c>
      <c r="AN7" s="55">
        <v>17780</v>
      </c>
      <c r="AO7" s="55">
        <v>2940</v>
      </c>
      <c r="AP7" s="55">
        <v>6910</v>
      </c>
      <c r="AQ7" s="56">
        <v>820</v>
      </c>
      <c r="AR7" s="55">
        <v>9810</v>
      </c>
      <c r="AS7" s="55">
        <v>203360</v>
      </c>
      <c r="AT7" s="55">
        <v>8770</v>
      </c>
      <c r="AU7" s="56">
        <v>250</v>
      </c>
      <c r="AV7" s="55">
        <v>16470</v>
      </c>
      <c r="AW7" s="55">
        <v>17990</v>
      </c>
      <c r="AX7" s="56">
        <v>500</v>
      </c>
      <c r="AY7" s="55">
        <v>7970</v>
      </c>
      <c r="AZ7" s="56">
        <v>790</v>
      </c>
      <c r="BA7" s="72">
        <f t="shared" si="0"/>
        <v>1020500</v>
      </c>
      <c r="BB7" s="4">
        <f t="shared" si="1"/>
        <v>270460</v>
      </c>
      <c r="BC7" s="4">
        <f t="shared" si="2"/>
        <v>98550</v>
      </c>
      <c r="BD7" s="4">
        <f t="shared" si="3"/>
        <v>50680</v>
      </c>
      <c r="BE7" s="4">
        <f t="shared" si="4"/>
        <v>221740</v>
      </c>
      <c r="BF7" s="4">
        <f t="shared" si="5"/>
        <v>72100</v>
      </c>
      <c r="BG7" s="4">
        <f t="shared" si="6"/>
        <v>21200</v>
      </c>
      <c r="BH7" s="4">
        <f t="shared" si="7"/>
        <v>28930</v>
      </c>
      <c r="BI7" s="4">
        <f t="shared" si="8"/>
        <v>98280</v>
      </c>
      <c r="BJ7" s="73">
        <f t="shared" si="9"/>
        <v>158560</v>
      </c>
    </row>
    <row r="8" spans="1:62">
      <c r="A8" s="1">
        <v>2026</v>
      </c>
      <c r="B8" s="55">
        <v>5910</v>
      </c>
      <c r="C8" s="56">
        <v>560</v>
      </c>
      <c r="D8" s="55">
        <v>37310</v>
      </c>
      <c r="E8" s="55">
        <v>4830</v>
      </c>
      <c r="F8" s="55">
        <v>238890</v>
      </c>
      <c r="G8" s="55">
        <v>20800</v>
      </c>
      <c r="H8" s="55">
        <v>10250</v>
      </c>
      <c r="I8" s="55">
        <v>2070</v>
      </c>
      <c r="J8" s="55">
        <v>1040</v>
      </c>
      <c r="K8" s="55">
        <v>77540</v>
      </c>
      <c r="L8" s="55">
        <v>21280</v>
      </c>
      <c r="M8" s="55">
        <v>1270</v>
      </c>
      <c r="N8" s="55">
        <v>4370</v>
      </c>
      <c r="O8" s="55">
        <v>36130</v>
      </c>
      <c r="P8" s="55">
        <v>10570</v>
      </c>
      <c r="Q8" s="55">
        <v>4500</v>
      </c>
      <c r="R8" s="55">
        <v>7370</v>
      </c>
      <c r="S8" s="55">
        <v>4500</v>
      </c>
      <c r="T8" s="55">
        <v>4500</v>
      </c>
      <c r="U8" s="56">
        <v>350</v>
      </c>
      <c r="V8" s="55">
        <v>14430</v>
      </c>
      <c r="W8" s="55">
        <v>14680</v>
      </c>
      <c r="X8" s="55">
        <v>8200</v>
      </c>
      <c r="Y8" s="55">
        <v>6430</v>
      </c>
      <c r="Z8" s="55">
        <v>1550</v>
      </c>
      <c r="AA8" s="55">
        <v>4770</v>
      </c>
      <c r="AB8" s="56">
        <v>490</v>
      </c>
      <c r="AC8" s="55">
        <v>4820</v>
      </c>
      <c r="AD8" s="55">
        <v>14450</v>
      </c>
      <c r="AE8" s="56">
        <v>930</v>
      </c>
      <c r="AF8" s="55">
        <v>30890</v>
      </c>
      <c r="AG8" s="55">
        <v>12900</v>
      </c>
      <c r="AH8" s="55">
        <v>49600</v>
      </c>
      <c r="AI8" s="55">
        <v>23170</v>
      </c>
      <c r="AJ8" s="55">
        <v>23170</v>
      </c>
      <c r="AK8" s="55">
        <v>8930</v>
      </c>
      <c r="AL8" s="55">
        <v>9560</v>
      </c>
      <c r="AM8" s="55">
        <v>10270</v>
      </c>
      <c r="AN8" s="55">
        <v>18550</v>
      </c>
      <c r="AO8" s="55">
        <v>3030</v>
      </c>
      <c r="AP8" s="55">
        <v>7120</v>
      </c>
      <c r="AQ8" s="56">
        <v>840</v>
      </c>
      <c r="AR8" s="55">
        <v>9910</v>
      </c>
      <c r="AS8" s="55">
        <v>204030</v>
      </c>
      <c r="AT8" s="55">
        <v>8920</v>
      </c>
      <c r="AU8" s="56">
        <v>230</v>
      </c>
      <c r="AV8" s="55">
        <v>16690</v>
      </c>
      <c r="AW8" s="55">
        <v>18330</v>
      </c>
      <c r="AX8" s="56">
        <v>520</v>
      </c>
      <c r="AY8" s="55">
        <v>8160</v>
      </c>
      <c r="AZ8" s="56">
        <v>840</v>
      </c>
      <c r="BA8" s="72">
        <f t="shared" si="0"/>
        <v>1030450</v>
      </c>
      <c r="BB8" s="4">
        <f t="shared" si="1"/>
        <v>269320</v>
      </c>
      <c r="BC8" s="4">
        <f t="shared" si="2"/>
        <v>100080</v>
      </c>
      <c r="BD8" s="4">
        <f t="shared" si="3"/>
        <v>51900</v>
      </c>
      <c r="BE8" s="4">
        <f t="shared" si="4"/>
        <v>222920</v>
      </c>
      <c r="BF8" s="4">
        <f t="shared" si="5"/>
        <v>71990</v>
      </c>
      <c r="BG8" s="4">
        <f t="shared" si="6"/>
        <v>21870</v>
      </c>
      <c r="BH8" s="4">
        <f t="shared" si="7"/>
        <v>29470</v>
      </c>
      <c r="BI8" s="4">
        <f t="shared" si="8"/>
        <v>99040</v>
      </c>
      <c r="BJ8" s="73">
        <f t="shared" si="9"/>
        <v>163860</v>
      </c>
    </row>
    <row r="9" spans="1:62">
      <c r="A9" s="1">
        <v>2027</v>
      </c>
      <c r="B9" s="55">
        <v>6160</v>
      </c>
      <c r="C9" s="56">
        <v>540</v>
      </c>
      <c r="D9" s="55">
        <v>35780</v>
      </c>
      <c r="E9" s="55">
        <v>4920</v>
      </c>
      <c r="F9" s="55">
        <v>228190</v>
      </c>
      <c r="G9" s="55">
        <v>20450</v>
      </c>
      <c r="H9" s="55">
        <v>10580</v>
      </c>
      <c r="I9" s="55">
        <v>2050</v>
      </c>
      <c r="J9" s="55">
        <v>1010</v>
      </c>
      <c r="K9" s="55">
        <v>76900</v>
      </c>
      <c r="L9" s="55">
        <v>21200</v>
      </c>
      <c r="M9" s="55">
        <v>1020</v>
      </c>
      <c r="N9" s="55">
        <v>4240</v>
      </c>
      <c r="O9" s="55">
        <v>35000</v>
      </c>
      <c r="P9" s="55">
        <v>10600</v>
      </c>
      <c r="Q9" s="55">
        <v>4390</v>
      </c>
      <c r="R9" s="55">
        <v>7210</v>
      </c>
      <c r="S9" s="55">
        <v>4440</v>
      </c>
      <c r="T9" s="55">
        <v>4440</v>
      </c>
      <c r="U9" s="56">
        <v>340</v>
      </c>
      <c r="V9" s="55">
        <v>15070</v>
      </c>
      <c r="W9" s="55">
        <v>14570</v>
      </c>
      <c r="X9" s="55">
        <v>7980</v>
      </c>
      <c r="Y9" s="55">
        <v>6350</v>
      </c>
      <c r="Z9" s="55">
        <v>1500</v>
      </c>
      <c r="AA9" s="55">
        <v>4660</v>
      </c>
      <c r="AB9" s="56">
        <v>550</v>
      </c>
      <c r="AC9" s="55">
        <v>5030</v>
      </c>
      <c r="AD9" s="55">
        <v>14060</v>
      </c>
      <c r="AE9" s="56">
        <v>920</v>
      </c>
      <c r="AF9" s="55">
        <v>31270</v>
      </c>
      <c r="AG9" s="55">
        <v>12630</v>
      </c>
      <c r="AH9" s="55">
        <v>49880</v>
      </c>
      <c r="AI9" s="55">
        <v>23360</v>
      </c>
      <c r="AJ9" s="55">
        <v>23360</v>
      </c>
      <c r="AK9" s="55">
        <v>9160</v>
      </c>
      <c r="AL9" s="55">
        <v>9660</v>
      </c>
      <c r="AM9" s="55">
        <v>10010</v>
      </c>
      <c r="AN9" s="55">
        <v>19090</v>
      </c>
      <c r="AO9" s="55">
        <v>2850</v>
      </c>
      <c r="AP9" s="55">
        <v>7100</v>
      </c>
      <c r="AQ9" s="56">
        <v>920</v>
      </c>
      <c r="AR9" s="55">
        <v>9630</v>
      </c>
      <c r="AS9" s="55">
        <v>202830</v>
      </c>
      <c r="AT9" s="55">
        <v>9020</v>
      </c>
      <c r="AU9" s="56">
        <v>230</v>
      </c>
      <c r="AV9" s="55">
        <v>16720</v>
      </c>
      <c r="AW9" s="55">
        <v>18230</v>
      </c>
      <c r="AX9" s="56">
        <v>500</v>
      </c>
      <c r="AY9" s="55">
        <v>8050</v>
      </c>
      <c r="AZ9" s="56">
        <v>820</v>
      </c>
      <c r="BA9" s="72">
        <f t="shared" si="0"/>
        <v>1015470</v>
      </c>
      <c r="BB9" s="4">
        <f t="shared" si="1"/>
        <v>257990</v>
      </c>
      <c r="BC9" s="4">
        <f t="shared" si="2"/>
        <v>97550</v>
      </c>
      <c r="BD9" s="4">
        <f t="shared" si="3"/>
        <v>51920</v>
      </c>
      <c r="BE9" s="4">
        <f t="shared" si="4"/>
        <v>221850</v>
      </c>
      <c r="BF9" s="4">
        <f t="shared" si="5"/>
        <v>70790</v>
      </c>
      <c r="BG9" s="4">
        <f t="shared" si="6"/>
        <v>21730</v>
      </c>
      <c r="BH9" s="4">
        <f t="shared" si="7"/>
        <v>29490</v>
      </c>
      <c r="BI9" s="4">
        <f t="shared" si="8"/>
        <v>100240</v>
      </c>
      <c r="BJ9" s="73">
        <f t="shared" si="9"/>
        <v>163910</v>
      </c>
    </row>
    <row r="10" spans="1:62">
      <c r="A10" s="1">
        <v>2028</v>
      </c>
      <c r="B10" s="55">
        <v>6100</v>
      </c>
      <c r="C10" s="56">
        <v>550</v>
      </c>
      <c r="D10" s="55">
        <v>34360</v>
      </c>
      <c r="E10" s="55">
        <v>4710</v>
      </c>
      <c r="F10" s="55">
        <v>231710</v>
      </c>
      <c r="G10" s="55">
        <v>19500</v>
      </c>
      <c r="H10" s="55">
        <v>10500</v>
      </c>
      <c r="I10" s="55">
        <v>2020</v>
      </c>
      <c r="J10" s="56">
        <v>990</v>
      </c>
      <c r="K10" s="55">
        <v>76280</v>
      </c>
      <c r="L10" s="55">
        <v>20790</v>
      </c>
      <c r="M10" s="55">
        <v>1300</v>
      </c>
      <c r="N10" s="55">
        <v>4250</v>
      </c>
      <c r="O10" s="55">
        <v>32990</v>
      </c>
      <c r="P10" s="55">
        <v>10250</v>
      </c>
      <c r="Q10" s="55">
        <v>4270</v>
      </c>
      <c r="R10" s="55">
        <v>6950</v>
      </c>
      <c r="S10" s="55">
        <v>4340</v>
      </c>
      <c r="T10" s="55">
        <v>4340</v>
      </c>
      <c r="U10" s="56">
        <v>370</v>
      </c>
      <c r="V10" s="55">
        <v>14880</v>
      </c>
      <c r="W10" s="55">
        <v>14480</v>
      </c>
      <c r="X10" s="55">
        <v>8150</v>
      </c>
      <c r="Y10" s="55">
        <v>6210</v>
      </c>
      <c r="Z10" s="55">
        <v>1390</v>
      </c>
      <c r="AA10" s="55">
        <v>4800</v>
      </c>
      <c r="AB10" s="56">
        <v>480</v>
      </c>
      <c r="AC10" s="55">
        <v>4860</v>
      </c>
      <c r="AD10" s="55">
        <v>14000</v>
      </c>
      <c r="AE10" s="56">
        <v>900</v>
      </c>
      <c r="AF10" s="55">
        <v>30670</v>
      </c>
      <c r="AG10" s="55">
        <v>11680</v>
      </c>
      <c r="AH10" s="55">
        <v>49470</v>
      </c>
      <c r="AI10" s="55">
        <v>22840</v>
      </c>
      <c r="AJ10" s="55">
        <v>22840</v>
      </c>
      <c r="AK10" s="55">
        <v>8730</v>
      </c>
      <c r="AL10" s="55">
        <v>9130</v>
      </c>
      <c r="AM10" s="55">
        <v>9660</v>
      </c>
      <c r="AN10" s="55">
        <v>19440</v>
      </c>
      <c r="AO10" s="55">
        <v>2820</v>
      </c>
      <c r="AP10" s="55">
        <v>7200</v>
      </c>
      <c r="AQ10" s="56">
        <v>980</v>
      </c>
      <c r="AR10" s="55">
        <v>9950</v>
      </c>
      <c r="AS10" s="55">
        <v>192320</v>
      </c>
      <c r="AT10" s="55">
        <v>8760</v>
      </c>
      <c r="AU10" s="56">
        <v>270</v>
      </c>
      <c r="AV10" s="55">
        <v>16180</v>
      </c>
      <c r="AW10" s="55">
        <v>17540</v>
      </c>
      <c r="AX10" s="56">
        <v>510</v>
      </c>
      <c r="AY10" s="55">
        <v>7870</v>
      </c>
      <c r="AZ10" s="56">
        <v>820</v>
      </c>
      <c r="BA10" s="72">
        <f t="shared" si="0"/>
        <v>996400</v>
      </c>
      <c r="BB10" s="4">
        <f t="shared" si="1"/>
        <v>260760</v>
      </c>
      <c r="BC10" s="4">
        <f t="shared" si="2"/>
        <v>93850</v>
      </c>
      <c r="BD10" s="4">
        <f t="shared" si="3"/>
        <v>50910</v>
      </c>
      <c r="BE10" s="4">
        <f t="shared" si="4"/>
        <v>210500</v>
      </c>
      <c r="BF10" s="4">
        <f t="shared" si="5"/>
        <v>67990</v>
      </c>
      <c r="BG10" s="4">
        <f t="shared" si="6"/>
        <v>21780</v>
      </c>
      <c r="BH10" s="4">
        <f t="shared" si="7"/>
        <v>29340</v>
      </c>
      <c r="BI10" s="4">
        <f t="shared" si="8"/>
        <v>99580</v>
      </c>
      <c r="BJ10" s="73">
        <f t="shared" si="9"/>
        <v>161690</v>
      </c>
    </row>
  </sheetData>
  <sheetProtection algorithmName="SHA-512" hashValue="do3rT7UP6Goy+33BUfMEM/ndHlS63OUMtN2tmQEMXYg1VdJGJGY3UTH8SuXsOehxb8Gfh/GfSzes6XAHgPCRtQ==" saltValue="dqyanvOcO2hmRUPKbJKR9w=="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442F3-DB43-485F-98B2-CA5A1A42B945}">
  <sheetPr codeName="Sheet2">
    <tabColor theme="8" tint="0.59999389629810485"/>
  </sheetPr>
  <dimension ref="A1:N101"/>
  <sheetViews>
    <sheetView workbookViewId="0">
      <selection activeCell="B1" sqref="B1"/>
    </sheetView>
  </sheetViews>
  <sheetFormatPr defaultColWidth="8.85546875" defaultRowHeight="15"/>
  <cols>
    <col min="1" max="1" width="15.85546875" bestFit="1" customWidth="1"/>
    <col min="2" max="2" width="17" bestFit="1" customWidth="1"/>
    <col min="3" max="3" width="14.42578125" customWidth="1"/>
    <col min="4" max="4" width="20.7109375" bestFit="1" customWidth="1"/>
    <col min="5" max="5" width="17.42578125" bestFit="1" customWidth="1"/>
    <col min="6" max="6" width="20.7109375" bestFit="1" customWidth="1"/>
    <col min="7" max="9" width="17.42578125" bestFit="1" customWidth="1"/>
    <col min="10" max="10" width="19.7109375" customWidth="1"/>
    <col min="11" max="11" width="9.28515625" customWidth="1"/>
    <col min="12" max="12" width="7.85546875" bestFit="1" customWidth="1"/>
    <col min="13" max="13" width="18.42578125" bestFit="1" customWidth="1"/>
    <col min="14" max="14" width="17.28515625" bestFit="1" customWidth="1"/>
  </cols>
  <sheetData>
    <row r="1" spans="1:14">
      <c r="A1" s="47" t="s">
        <v>0</v>
      </c>
      <c r="B1" s="76" t="s">
        <v>1</v>
      </c>
      <c r="C1" s="50" t="s">
        <v>2</v>
      </c>
    </row>
    <row r="2" spans="1:14">
      <c r="A2" s="48" t="s">
        <v>3</v>
      </c>
      <c r="B2" s="37" t="str">
        <f>VLOOKUP(B1, 'States + Regions'!$A$2:$B$52, 2,)</f>
        <v>East South Central</v>
      </c>
    </row>
    <row r="3" spans="1:14">
      <c r="A3" s="48" t="s">
        <v>4</v>
      </c>
      <c r="B3" s="77">
        <v>0.5</v>
      </c>
      <c r="C3" s="50" t="s">
        <v>5</v>
      </c>
    </row>
    <row r="4" spans="1:14" ht="15.75" thickBot="1">
      <c r="A4" s="49" t="s">
        <v>6</v>
      </c>
      <c r="B4" s="39">
        <f>1-B3</f>
        <v>0.5</v>
      </c>
      <c r="C4" s="50" t="s">
        <v>7</v>
      </c>
    </row>
    <row r="5" spans="1:14">
      <c r="A5" s="1"/>
    </row>
    <row r="6" spans="1:14" ht="28.5">
      <c r="B6" s="78" t="s">
        <v>8</v>
      </c>
      <c r="C6" s="78"/>
      <c r="D6" s="78"/>
      <c r="E6" s="78"/>
      <c r="F6" s="78"/>
      <c r="G6" s="78"/>
      <c r="H6" s="78"/>
      <c r="I6" s="78"/>
      <c r="J6" s="78"/>
      <c r="K6" s="78"/>
      <c r="L6" s="78"/>
      <c r="M6" s="78"/>
      <c r="N6" s="78"/>
    </row>
    <row r="7" spans="1:14">
      <c r="C7" s="1" t="s">
        <v>9</v>
      </c>
      <c r="D7" s="1" t="s">
        <v>10</v>
      </c>
      <c r="E7" s="1" t="s">
        <v>11</v>
      </c>
      <c r="F7" s="1" t="s">
        <v>12</v>
      </c>
      <c r="G7" s="1" t="s">
        <v>13</v>
      </c>
      <c r="H7" s="1" t="s">
        <v>14</v>
      </c>
      <c r="I7" s="1" t="s">
        <v>15</v>
      </c>
      <c r="J7" s="1" t="s">
        <v>16</v>
      </c>
      <c r="K7" s="1" t="s">
        <v>17</v>
      </c>
      <c r="M7" s="1" t="s">
        <v>18</v>
      </c>
      <c r="N7" s="1" t="s">
        <v>19</v>
      </c>
    </row>
    <row r="8" spans="1:14">
      <c r="B8">
        <v>2020</v>
      </c>
      <c r="C8">
        <f>HLOOKUP($C$7, 'New Grawe'!$B$1:$BK$10, 2,)</f>
        <v>3085315</v>
      </c>
      <c r="D8">
        <v>100</v>
      </c>
      <c r="E8" s="2">
        <f>HLOOKUP($E$7, 'New WICHE'!$B$1:$BK$10, 2,)</f>
        <v>3730760</v>
      </c>
      <c r="F8">
        <v>100</v>
      </c>
      <c r="G8" s="3">
        <f>HLOOKUP($B$1, 'New Grawe'!$B$1:$BK$10,2,)</f>
        <v>46325</v>
      </c>
      <c r="H8">
        <v>100</v>
      </c>
      <c r="I8" s="3">
        <f>HLOOKUP($B$1, 'New WICHE'!$B$1:$BK$10, 2,)</f>
        <v>52550</v>
      </c>
      <c r="J8">
        <v>100</v>
      </c>
      <c r="K8">
        <v>100</v>
      </c>
      <c r="M8">
        <f t="shared" ref="M8:M16" si="0">D8*$B$3+F8*$B$4</f>
        <v>100</v>
      </c>
      <c r="N8">
        <f t="shared" ref="N8:N16" si="1">H8*$B$3+J8*$B$4</f>
        <v>100</v>
      </c>
    </row>
    <row r="9" spans="1:14">
      <c r="B9">
        <v>2021</v>
      </c>
      <c r="C9">
        <f>HLOOKUP($C$7, 'New Grawe'!$B$1:$BK$10, 3,)</f>
        <v>3161537</v>
      </c>
      <c r="D9" s="5">
        <f>100*(C9/C$8)</f>
        <v>102.47047708256693</v>
      </c>
      <c r="E9" s="2">
        <f>HLOOKUP($E$7, 'New WICHE'!$B$1:$BK$10, 3,)</f>
        <v>3753990</v>
      </c>
      <c r="F9" s="5">
        <f>100*(E9/E$8)</f>
        <v>100.62266133441979</v>
      </c>
      <c r="G9" s="3">
        <f>HLOOKUP($B$1, 'New Grawe'!$B$1:$BK$10,3,)</f>
        <v>44068</v>
      </c>
      <c r="H9" s="5">
        <f>100*(G9/G$8)</f>
        <v>95.127900701565025</v>
      </c>
      <c r="I9" s="3">
        <f>HLOOKUP($B$1, 'New WICHE'!$B$1:$BK$10, 3,)</f>
        <v>51750</v>
      </c>
      <c r="J9" s="5">
        <f>100*(I9/I$8)</f>
        <v>98.477640342530918</v>
      </c>
      <c r="K9">
        <v>100</v>
      </c>
      <c r="M9" s="5">
        <f>D9*$B$3+F9*$B$4</f>
        <v>101.54656920849337</v>
      </c>
      <c r="N9" s="5">
        <f t="shared" si="1"/>
        <v>96.802770522047979</v>
      </c>
    </row>
    <row r="10" spans="1:14">
      <c r="B10">
        <v>2022</v>
      </c>
      <c r="C10">
        <f>HLOOKUP($C$7, 'New Grawe'!$B$1:$BK$10, 4,)</f>
        <v>3155052</v>
      </c>
      <c r="D10" s="5">
        <f t="shared" ref="D10:F16" si="2">100*(C10/C$8)</f>
        <v>102.26028784743211</v>
      </c>
      <c r="E10" s="2">
        <f>HLOOKUP($E$7, 'New WICHE'!$B$1:$BK$10, 4,)</f>
        <v>3756590</v>
      </c>
      <c r="F10" s="5">
        <f t="shared" si="2"/>
        <v>100.69235222850037</v>
      </c>
      <c r="G10" s="3">
        <f>HLOOKUP($B$1, 'New Grawe'!$B$1:$BK$10,4,)</f>
        <v>42466</v>
      </c>
      <c r="H10" s="5">
        <f t="shared" ref="H10" si="3">100*(G10/G$8)</f>
        <v>91.669724770642205</v>
      </c>
      <c r="I10" s="3">
        <f>HLOOKUP($B$1, 'New WICHE'!$B$1:$BK$10, 4,)</f>
        <v>51410</v>
      </c>
      <c r="J10" s="5">
        <f t="shared" ref="J10" si="4">100*(I10/I$8)</f>
        <v>97.830637488106561</v>
      </c>
      <c r="K10">
        <v>100</v>
      </c>
      <c r="M10" s="5">
        <f t="shared" si="0"/>
        <v>101.47632003796625</v>
      </c>
      <c r="N10" s="5">
        <f t="shared" si="1"/>
        <v>94.750181129374383</v>
      </c>
    </row>
    <row r="11" spans="1:14">
      <c r="B11">
        <v>2023</v>
      </c>
      <c r="C11">
        <f>HLOOKUP($C$7, 'New Grawe'!$B$1:$BK$10, 5,)</f>
        <v>3190058</v>
      </c>
      <c r="D11" s="5">
        <f t="shared" si="2"/>
        <v>103.39488836634186</v>
      </c>
      <c r="E11" s="2">
        <f>HLOOKUP($E$7, 'New WICHE'!$B$1:$BK$10, 5,)</f>
        <v>3792880</v>
      </c>
      <c r="F11" s="5">
        <f t="shared" si="2"/>
        <v>101.66507628472483</v>
      </c>
      <c r="G11" s="3">
        <f>HLOOKUP($B$1, 'New Grawe'!$B$1:$BK$10,5,)</f>
        <v>45902</v>
      </c>
      <c r="H11" s="5">
        <f t="shared" ref="H11" si="5">100*(G11/G$8)</f>
        <v>99.086886130599027</v>
      </c>
      <c r="I11" s="3">
        <f>HLOOKUP($B$1, 'New WICHE'!$B$1:$BK$10, 5,)</f>
        <v>51770</v>
      </c>
      <c r="J11" s="5">
        <f t="shared" ref="J11" si="6">100*(I11/I$8)</f>
        <v>98.51569933396766</v>
      </c>
      <c r="K11">
        <v>100</v>
      </c>
      <c r="M11" s="5">
        <f t="shared" si="0"/>
        <v>102.52998232553335</v>
      </c>
      <c r="N11" s="5">
        <f t="shared" si="1"/>
        <v>98.801292732283343</v>
      </c>
    </row>
    <row r="12" spans="1:14">
      <c r="B12">
        <v>2024</v>
      </c>
      <c r="C12">
        <f>HLOOKUP($C$7, 'New Grawe'!$B$1:$BK$10, 6,)</f>
        <v>3173856</v>
      </c>
      <c r="D12" s="5">
        <f t="shared" si="2"/>
        <v>102.86975560031956</v>
      </c>
      <c r="E12" s="2">
        <f>HLOOKUP($E$7, 'New WICHE'!$B$1:$BK$10, 6,)</f>
        <v>3868050</v>
      </c>
      <c r="F12" s="5">
        <f t="shared" si="2"/>
        <v>103.67994724935402</v>
      </c>
      <c r="G12" s="3">
        <f>HLOOKUP($B$1, 'New Grawe'!$B$1:$BK$10,6,)</f>
        <v>47402</v>
      </c>
      <c r="H12" s="5">
        <f t="shared" ref="H12" si="7">100*(G12/G$8)</f>
        <v>102.32487857528332</v>
      </c>
      <c r="I12" s="3">
        <f>HLOOKUP($B$1, 'New WICHE'!$B$1:$BK$10, 6,)</f>
        <v>52080</v>
      </c>
      <c r="J12" s="5">
        <f t="shared" ref="J12" si="8">100*(I12/I$8)</f>
        <v>99.105613701236919</v>
      </c>
      <c r="K12">
        <v>100</v>
      </c>
      <c r="M12" s="5">
        <f t="shared" si="0"/>
        <v>103.27485142483678</v>
      </c>
      <c r="N12" s="5">
        <f t="shared" si="1"/>
        <v>100.71524613826011</v>
      </c>
    </row>
    <row r="13" spans="1:14">
      <c r="B13">
        <v>2025</v>
      </c>
      <c r="C13">
        <f>HLOOKUP($C$7, 'New Grawe'!$B$1:$BK$10, 7,)</f>
        <v>3287462</v>
      </c>
      <c r="D13" s="5">
        <f t="shared" si="2"/>
        <v>106.55190798994592</v>
      </c>
      <c r="E13" s="2">
        <f>HLOOKUP($E$7, 'New WICHE'!$B$1:$BK$10, 7,)</f>
        <v>3931400</v>
      </c>
      <c r="F13" s="5">
        <f t="shared" si="2"/>
        <v>105.37799268781696</v>
      </c>
      <c r="G13" s="3">
        <f>HLOOKUP($B$1, 'New Grawe'!$B$1:$BK$10,7,)</f>
        <v>46222</v>
      </c>
      <c r="H13" s="5">
        <f t="shared" ref="H13" si="9">100*(G13/G$8)</f>
        <v>99.777657852131668</v>
      </c>
      <c r="I13" s="3">
        <f>HLOOKUP($B$1, 'New WICHE'!$B$1:$BK$10, 7,)</f>
        <v>53640</v>
      </c>
      <c r="J13" s="5">
        <f t="shared" ref="J13" si="10">100*(I13/I$8)</f>
        <v>102.07421503330161</v>
      </c>
      <c r="K13">
        <v>100</v>
      </c>
      <c r="M13" s="5">
        <f t="shared" si="0"/>
        <v>105.96495033888144</v>
      </c>
      <c r="N13" s="5">
        <f t="shared" si="1"/>
        <v>100.92593644271665</v>
      </c>
    </row>
    <row r="14" spans="1:14">
      <c r="B14">
        <v>2026</v>
      </c>
      <c r="C14">
        <f>HLOOKUP($C$7, 'New Grawe'!$B$1:$BK$10, 8,)</f>
        <v>3204040</v>
      </c>
      <c r="D14" s="5">
        <f t="shared" si="2"/>
        <v>103.84806737723702</v>
      </c>
      <c r="E14" s="2">
        <f>HLOOKUP($E$7, 'New WICHE'!$B$1:$BK$10, 8,)</f>
        <v>3931070</v>
      </c>
      <c r="F14" s="5">
        <f t="shared" si="2"/>
        <v>105.36914730510674</v>
      </c>
      <c r="G14" s="3">
        <f>HLOOKUP($B$1, 'New Grawe'!$B$1:$BK$10,8,)</f>
        <v>47061</v>
      </c>
      <c r="H14" s="5">
        <f t="shared" ref="H14" si="11">100*(G14/G$8)</f>
        <v>101.5887749595251</v>
      </c>
      <c r="I14" s="3">
        <f>HLOOKUP($B$1, 'New WICHE'!$B$1:$BK$10, 8,)</f>
        <v>53920</v>
      </c>
      <c r="J14" s="5">
        <f t="shared" ref="J14" si="12">100*(I14/I$8)</f>
        <v>102.60704091341579</v>
      </c>
      <c r="K14">
        <v>100</v>
      </c>
      <c r="M14" s="5">
        <f t="shared" si="0"/>
        <v>104.60860734117188</v>
      </c>
      <c r="N14" s="5">
        <f t="shared" si="1"/>
        <v>102.09790793647045</v>
      </c>
    </row>
    <row r="15" spans="1:14">
      <c r="B15">
        <v>2027</v>
      </c>
      <c r="C15">
        <f>HLOOKUP($C$7, 'New Grawe'!$B$1:$BK$10, 9,)</f>
        <v>3094470</v>
      </c>
      <c r="D15" s="5">
        <f t="shared" si="2"/>
        <v>100.29672821089581</v>
      </c>
      <c r="E15" s="2">
        <f>HLOOKUP($E$7, 'New WICHE'!$B$1:$BK$10, 9,)</f>
        <v>3853840</v>
      </c>
      <c r="F15" s="5">
        <f t="shared" si="2"/>
        <v>103.29905970901372</v>
      </c>
      <c r="G15" s="3">
        <f>HLOOKUP($B$1, 'New Grawe'!$B$1:$BK$10,9,)</f>
        <v>43529</v>
      </c>
      <c r="H15" s="5">
        <f t="shared" ref="H15" si="13">100*(G15/G$8)</f>
        <v>93.964382083108475</v>
      </c>
      <c r="I15" s="3">
        <f>HLOOKUP($B$1, 'New WICHE'!$B$1:$BK$10, 9,)</f>
        <v>52790</v>
      </c>
      <c r="J15" s="5">
        <f t="shared" ref="J15" si="14">100*(I15/I$8)</f>
        <v>100.45670789724073</v>
      </c>
      <c r="K15">
        <v>100</v>
      </c>
      <c r="M15" s="5">
        <f t="shared" si="0"/>
        <v>101.79789395995476</v>
      </c>
      <c r="N15" s="5">
        <f t="shared" si="1"/>
        <v>97.210544990174611</v>
      </c>
    </row>
    <row r="16" spans="1:14">
      <c r="B16">
        <v>2028</v>
      </c>
      <c r="C16">
        <f>HLOOKUP($C$7, 'New Grawe'!$B$1:$BK$10, 10,)</f>
        <v>3024642</v>
      </c>
      <c r="D16" s="5">
        <f t="shared" si="2"/>
        <v>98.033490907735512</v>
      </c>
      <c r="E16" s="2">
        <f>HLOOKUP($E$7, 'New WICHE'!$B$1:$BK$10, 10,)</f>
        <v>3781160</v>
      </c>
      <c r="F16" s="5">
        <f t="shared" si="2"/>
        <v>101.35093117756169</v>
      </c>
      <c r="G16" s="3">
        <f>HLOOKUP($B$1, 'New Grawe'!$B$1:$BK$10,10,)</f>
        <v>42546</v>
      </c>
      <c r="H16" s="5">
        <f t="shared" ref="H16" si="15">100*(G16/G$8)</f>
        <v>91.842417701025369</v>
      </c>
      <c r="I16" s="3">
        <f>HLOOKUP($B$1, 'New WICHE'!$B$1:$BK$10, 10,)</f>
        <v>50800</v>
      </c>
      <c r="J16" s="5">
        <f t="shared" ref="J16" si="16">100*(I16/I$8)</f>
        <v>96.6698382492864</v>
      </c>
      <c r="K16">
        <v>100</v>
      </c>
      <c r="M16" s="5">
        <f t="shared" si="0"/>
        <v>99.692211042648609</v>
      </c>
      <c r="N16" s="5">
        <f t="shared" si="1"/>
        <v>94.256127975155891</v>
      </c>
    </row>
    <row r="17" spans="2:14">
      <c r="B17" s="6" t="s">
        <v>20</v>
      </c>
      <c r="C17" s="7"/>
      <c r="D17" s="8">
        <f>(D13-D8)/D8</f>
        <v>6.5519079899459168E-2</v>
      </c>
      <c r="E17" s="8"/>
      <c r="F17" s="8">
        <f>(F13-F8)/F8</f>
        <v>5.3779926878169564E-2</v>
      </c>
      <c r="G17" s="9"/>
      <c r="H17" s="8">
        <f>(H13-H8)/H8</f>
        <v>-2.2234214786833206E-3</v>
      </c>
      <c r="I17" s="10"/>
      <c r="J17" s="8">
        <f>(J13-J8)/J8</f>
        <v>2.0742150333016126E-2</v>
      </c>
      <c r="K17" s="7"/>
      <c r="L17" s="6" t="s">
        <v>20</v>
      </c>
      <c r="M17" s="8">
        <f>(M13-M8)/M8</f>
        <v>5.9649503388814369E-2</v>
      </c>
      <c r="N17" s="8">
        <f>(N13-N8)/N8</f>
        <v>9.2593644271664749E-3</v>
      </c>
    </row>
    <row r="18" spans="2:14">
      <c r="B18" s="6" t="s">
        <v>21</v>
      </c>
      <c r="C18" s="7"/>
      <c r="D18" s="8">
        <f>(D16-D13)/D13</f>
        <v>-7.9946171240914715E-2</v>
      </c>
      <c r="E18" s="8"/>
      <c r="F18" s="8">
        <f>(F16-F13)/F13</f>
        <v>-3.8215394007223721E-2</v>
      </c>
      <c r="G18" s="9"/>
      <c r="H18" s="8">
        <f>(H16-H13)/H13</f>
        <v>-7.9529228505906144E-2</v>
      </c>
      <c r="I18" s="10"/>
      <c r="J18" s="8">
        <f>(J16-J13)/J13</f>
        <v>-5.2945563012677006E-2</v>
      </c>
      <c r="K18" s="7"/>
      <c r="L18" s="6" t="s">
        <v>21</v>
      </c>
      <c r="M18" s="8">
        <f>(M16-M13)/M13</f>
        <v>-5.9196359514842228E-2</v>
      </c>
      <c r="N18" s="8">
        <f>(N16-N13)/N13</f>
        <v>-6.6086168755505117E-2</v>
      </c>
    </row>
    <row r="19" spans="2:14">
      <c r="B19" s="6" t="s">
        <v>22</v>
      </c>
      <c r="C19" s="7"/>
      <c r="D19" s="8">
        <f>(D16-D8)/D8</f>
        <v>-1.966509092264488E-2</v>
      </c>
      <c r="E19" s="8"/>
      <c r="F19" s="8">
        <f>(F16-F8)/F8</f>
        <v>1.3509311775616907E-2</v>
      </c>
      <c r="G19" s="9"/>
      <c r="H19" s="8">
        <f>(H16-H8)/H8</f>
        <v>-8.1575822989746319E-2</v>
      </c>
      <c r="I19" s="10"/>
      <c r="J19" s="8">
        <f>(J16-J8)/J8</f>
        <v>-3.3301617507135998E-2</v>
      </c>
      <c r="K19" s="7"/>
      <c r="L19" s="6" t="s">
        <v>22</v>
      </c>
      <c r="M19" s="8">
        <f>(M16-M8)/M8</f>
        <v>-3.0778895735139146E-3</v>
      </c>
      <c r="N19" s="8">
        <f>(N16-N8)/N8</f>
        <v>-5.7438720248441086E-2</v>
      </c>
    </row>
    <row r="37" spans="2:14" ht="28.5">
      <c r="B37" s="78" t="s">
        <v>23</v>
      </c>
      <c r="C37" s="78"/>
      <c r="D37" s="78"/>
      <c r="E37" s="78"/>
      <c r="F37" s="78"/>
      <c r="G37" s="78"/>
      <c r="H37" s="78"/>
      <c r="I37" s="78"/>
      <c r="J37" s="78"/>
      <c r="K37" s="78"/>
      <c r="L37" s="78"/>
      <c r="M37" s="78"/>
      <c r="N37" s="78"/>
    </row>
    <row r="38" spans="2:14">
      <c r="C38" s="1" t="s">
        <v>24</v>
      </c>
      <c r="D38" s="1" t="s">
        <v>25</v>
      </c>
      <c r="E38" s="1" t="s">
        <v>26</v>
      </c>
      <c r="F38" s="1" t="s">
        <v>27</v>
      </c>
      <c r="G38" s="1" t="s">
        <v>13</v>
      </c>
      <c r="H38" s="1" t="s">
        <v>14</v>
      </c>
      <c r="I38" s="1" t="s">
        <v>15</v>
      </c>
      <c r="J38" s="1" t="s">
        <v>16</v>
      </c>
      <c r="K38" s="1" t="s">
        <v>17</v>
      </c>
      <c r="M38" s="1" t="s">
        <v>28</v>
      </c>
      <c r="N38" s="1" t="s">
        <v>19</v>
      </c>
    </row>
    <row r="39" spans="2:14">
      <c r="B39">
        <v>2020</v>
      </c>
      <c r="C39">
        <f>HLOOKUP($B$2, 'New Grawe'!$B$1:$BK$10, 2,)</f>
        <v>169908</v>
      </c>
      <c r="D39">
        <v>100</v>
      </c>
      <c r="E39">
        <f>HLOOKUP($B$2, 'New WICHE'!$B$1:$BK$10, 2,)</f>
        <v>206240</v>
      </c>
      <c r="F39">
        <v>100</v>
      </c>
      <c r="G39" s="3">
        <f>HLOOKUP($B$1, 'New Grawe'!$B$1:$BK$10,2,)</f>
        <v>46325</v>
      </c>
      <c r="H39">
        <v>100</v>
      </c>
      <c r="I39" s="3">
        <f>HLOOKUP($B$1, 'New WICHE'!$B$1:$BK$10, 2,)</f>
        <v>52550</v>
      </c>
      <c r="J39">
        <v>100</v>
      </c>
      <c r="K39">
        <v>100</v>
      </c>
      <c r="M39">
        <f t="shared" ref="M39" si="17">D39*$B$3+F39*$B$4</f>
        <v>100</v>
      </c>
      <c r="N39">
        <f t="shared" ref="N39:N47" si="18">H39*$B$3+J39*$B$4</f>
        <v>100</v>
      </c>
    </row>
    <row r="40" spans="2:14">
      <c r="B40">
        <v>2021</v>
      </c>
      <c r="C40">
        <f>HLOOKUP($B$2, 'New Grawe'!$B$1:$BK$10, 3,)</f>
        <v>169895</v>
      </c>
      <c r="D40" s="5">
        <f>100*(C40/C$39)</f>
        <v>99.992348800527338</v>
      </c>
      <c r="E40">
        <f>HLOOKUP($B$2, 'New WICHE'!$B$1:$BK$10, 3,)</f>
        <v>204930</v>
      </c>
      <c r="F40" s="5">
        <f>100*(E40/E$39)</f>
        <v>99.36481768813033</v>
      </c>
      <c r="G40" s="3">
        <f>HLOOKUP($B$1, 'New Grawe'!$B$1:$BK$10,3,)</f>
        <v>44068</v>
      </c>
      <c r="H40" s="5">
        <f>100*(G40/G$8)</f>
        <v>95.127900701565025</v>
      </c>
      <c r="I40" s="3">
        <f>HLOOKUP($B$1, 'New WICHE'!$B$1:$BK$10, 3,)</f>
        <v>51750</v>
      </c>
      <c r="J40" s="5">
        <f>100*(I40/I$8)</f>
        <v>98.477640342530918</v>
      </c>
      <c r="K40">
        <v>100</v>
      </c>
      <c r="M40" s="5">
        <f>D40*$B$3+F40*$B$4</f>
        <v>99.678583244328834</v>
      </c>
      <c r="N40" s="5">
        <f t="shared" si="18"/>
        <v>96.802770522047979</v>
      </c>
    </row>
    <row r="41" spans="2:14">
      <c r="B41">
        <v>2022</v>
      </c>
      <c r="C41">
        <f>HLOOKUP($B$2, 'New Grawe'!$B$1:$BK$10, 4,)</f>
        <v>166544.5</v>
      </c>
      <c r="D41" s="5">
        <f t="shared" ref="D41:F47" si="19">100*(C41/C$39)</f>
        <v>98.02039927490172</v>
      </c>
      <c r="E41">
        <f>HLOOKUP($B$2, 'New WICHE'!$B$1:$BK$10, 4,)</f>
        <v>205090</v>
      </c>
      <c r="F41" s="5">
        <f t="shared" si="19"/>
        <v>99.442397207137319</v>
      </c>
      <c r="G41" s="3">
        <f>HLOOKUP($B$1, 'New Grawe'!$B$1:$BK$10,4,)</f>
        <v>42466</v>
      </c>
      <c r="H41" s="5">
        <f t="shared" ref="H41:H47" si="20">100*(G41/G$8)</f>
        <v>91.669724770642205</v>
      </c>
      <c r="I41" s="3">
        <f>HLOOKUP($B$1, 'New WICHE'!$B$1:$BK$10, 4,)</f>
        <v>51410</v>
      </c>
      <c r="J41" s="5">
        <f t="shared" ref="J41:J47" si="21">100*(I41/I$8)</f>
        <v>97.830637488106561</v>
      </c>
      <c r="K41">
        <v>100</v>
      </c>
      <c r="M41" s="5">
        <f t="shared" ref="M41:M47" si="22">D41*$B$3+F41*$B$4</f>
        <v>98.731398241019519</v>
      </c>
      <c r="N41" s="5">
        <f t="shared" si="18"/>
        <v>94.750181129374383</v>
      </c>
    </row>
    <row r="42" spans="2:14">
      <c r="B42">
        <v>2023</v>
      </c>
      <c r="C42">
        <f>HLOOKUP($B$2, 'New Grawe'!$B$1:$BK$10, 5,)</f>
        <v>172187.5</v>
      </c>
      <c r="D42" s="5">
        <f t="shared" si="19"/>
        <v>101.34160839983993</v>
      </c>
      <c r="E42">
        <f>HLOOKUP($B$2, 'New WICHE'!$B$1:$BK$10, 5,)</f>
        <v>206090</v>
      </c>
      <c r="F42" s="5">
        <f t="shared" si="19"/>
        <v>99.927269200930951</v>
      </c>
      <c r="G42" s="3">
        <f>HLOOKUP($B$1, 'New Grawe'!$B$1:$BK$10,5,)</f>
        <v>45902</v>
      </c>
      <c r="H42" s="5">
        <f t="shared" si="20"/>
        <v>99.086886130599027</v>
      </c>
      <c r="I42" s="3">
        <f>HLOOKUP($B$1, 'New WICHE'!$B$1:$BK$10, 5,)</f>
        <v>51770</v>
      </c>
      <c r="J42" s="5">
        <f t="shared" si="21"/>
        <v>98.51569933396766</v>
      </c>
      <c r="K42">
        <v>100</v>
      </c>
      <c r="M42" s="5">
        <f t="shared" si="22"/>
        <v>100.63443880038544</v>
      </c>
      <c r="N42" s="5">
        <f t="shared" si="18"/>
        <v>98.801292732283343</v>
      </c>
    </row>
    <row r="43" spans="2:14">
      <c r="B43">
        <v>2024</v>
      </c>
      <c r="C43">
        <f>HLOOKUP($B$2, 'New Grawe'!$B$1:$BK$10, 6,)</f>
        <v>176702</v>
      </c>
      <c r="D43" s="5">
        <f t="shared" si="19"/>
        <v>103.99863455517104</v>
      </c>
      <c r="E43">
        <f>HLOOKUP($B$2, 'New WICHE'!$B$1:$BK$10, 6,)</f>
        <v>208910</v>
      </c>
      <c r="F43" s="5">
        <f t="shared" si="19"/>
        <v>101.29460822342902</v>
      </c>
      <c r="G43" s="3">
        <f>HLOOKUP($B$1, 'New Grawe'!$B$1:$BK$10,6,)</f>
        <v>47402</v>
      </c>
      <c r="H43" s="5">
        <f t="shared" si="20"/>
        <v>102.32487857528332</v>
      </c>
      <c r="I43" s="3">
        <f>HLOOKUP($B$1, 'New WICHE'!$B$1:$BK$10, 6,)</f>
        <v>52080</v>
      </c>
      <c r="J43" s="5">
        <f t="shared" si="21"/>
        <v>99.105613701236919</v>
      </c>
      <c r="K43">
        <v>100</v>
      </c>
      <c r="M43" s="5">
        <f t="shared" si="22"/>
        <v>102.64662138930004</v>
      </c>
      <c r="N43" s="5">
        <f t="shared" si="18"/>
        <v>100.71524613826011</v>
      </c>
    </row>
    <row r="44" spans="2:14">
      <c r="B44">
        <v>2025</v>
      </c>
      <c r="C44">
        <f>HLOOKUP($B$2, 'New Grawe'!$B$1:$BK$10, 7,)</f>
        <v>179261</v>
      </c>
      <c r="D44" s="5">
        <f t="shared" si="19"/>
        <v>105.50474374367305</v>
      </c>
      <c r="E44">
        <f>HLOOKUP($B$2, 'New WICHE'!$B$1:$BK$10, 7,)</f>
        <v>215550</v>
      </c>
      <c r="F44" s="5">
        <f t="shared" si="19"/>
        <v>104.51415826221877</v>
      </c>
      <c r="G44" s="3">
        <f>HLOOKUP($B$1, 'New Grawe'!$B$1:$BK$10,7,)</f>
        <v>46222</v>
      </c>
      <c r="H44" s="5">
        <f t="shared" si="20"/>
        <v>99.777657852131668</v>
      </c>
      <c r="I44" s="3">
        <f>HLOOKUP($B$1, 'New WICHE'!$B$1:$BK$10, 7,)</f>
        <v>53640</v>
      </c>
      <c r="J44" s="5">
        <f t="shared" si="21"/>
        <v>102.07421503330161</v>
      </c>
      <c r="K44">
        <v>100</v>
      </c>
      <c r="M44" s="5">
        <f t="shared" si="22"/>
        <v>105.00945100294591</v>
      </c>
      <c r="N44" s="5">
        <f t="shared" si="18"/>
        <v>100.92593644271665</v>
      </c>
    </row>
    <row r="45" spans="2:14">
      <c r="B45">
        <v>2026</v>
      </c>
      <c r="C45">
        <f>HLOOKUP($B$2, 'New Grawe'!$B$1:$BK$10, 8,)</f>
        <v>176951</v>
      </c>
      <c r="D45" s="5">
        <f t="shared" si="19"/>
        <v>104.14518445276266</v>
      </c>
      <c r="E45">
        <f>HLOOKUP($B$2, 'New WICHE'!$B$1:$BK$10, 8,)</f>
        <v>214450</v>
      </c>
      <c r="F45" s="5">
        <f t="shared" si="19"/>
        <v>103.98079906904579</v>
      </c>
      <c r="G45" s="3">
        <f>HLOOKUP($B$1, 'New Grawe'!$B$1:$BK$10,8,)</f>
        <v>47061</v>
      </c>
      <c r="H45" s="5">
        <f t="shared" si="20"/>
        <v>101.5887749595251</v>
      </c>
      <c r="I45" s="3">
        <f>HLOOKUP($B$1, 'New WICHE'!$B$1:$BK$10, 8,)</f>
        <v>53920</v>
      </c>
      <c r="J45" s="5">
        <f t="shared" si="21"/>
        <v>102.60704091341579</v>
      </c>
      <c r="K45">
        <v>100</v>
      </c>
      <c r="M45" s="5">
        <f t="shared" si="22"/>
        <v>104.06299176090423</v>
      </c>
      <c r="N45" s="5">
        <f t="shared" si="18"/>
        <v>102.09790793647045</v>
      </c>
    </row>
    <row r="46" spans="2:14">
      <c r="B46">
        <v>2027</v>
      </c>
      <c r="C46">
        <f>HLOOKUP($B$2, 'New Grawe'!$B$1:$BK$10, 9,)</f>
        <v>169407.5</v>
      </c>
      <c r="D46" s="5">
        <f t="shared" si="19"/>
        <v>99.705428820302757</v>
      </c>
      <c r="E46">
        <f>HLOOKUP($B$2, 'New WICHE'!$B$1:$BK$10, 9,)</f>
        <v>208600</v>
      </c>
      <c r="F46" s="5">
        <f t="shared" si="19"/>
        <v>101.144297905353</v>
      </c>
      <c r="G46" s="3">
        <f>HLOOKUP($B$1, 'New Grawe'!$B$1:$BK$10,9,)</f>
        <v>43529</v>
      </c>
      <c r="H46" s="5">
        <f t="shared" si="20"/>
        <v>93.964382083108475</v>
      </c>
      <c r="I46" s="3">
        <f>HLOOKUP($B$1, 'New WICHE'!$B$1:$BK$10, 9,)</f>
        <v>52790</v>
      </c>
      <c r="J46" s="5">
        <f t="shared" si="21"/>
        <v>100.45670789724073</v>
      </c>
      <c r="K46">
        <v>100</v>
      </c>
      <c r="M46" s="5">
        <f t="shared" si="22"/>
        <v>100.42486336282788</v>
      </c>
      <c r="N46" s="5">
        <f t="shared" si="18"/>
        <v>97.210544990174611</v>
      </c>
    </row>
    <row r="47" spans="2:14">
      <c r="B47">
        <v>2028</v>
      </c>
      <c r="C47">
        <f>HLOOKUP($B$2, 'New Grawe'!$B$1:$BK$10, 10,)</f>
        <v>162589</v>
      </c>
      <c r="D47" s="5">
        <f t="shared" si="19"/>
        <v>95.692374696894788</v>
      </c>
      <c r="E47">
        <f>HLOOKUP($B$2, 'New WICHE'!$B$1:$BK$10, 10,)</f>
        <v>201890</v>
      </c>
      <c r="F47" s="5">
        <f t="shared" si="19"/>
        <v>97.890806826997661</v>
      </c>
      <c r="G47" s="3">
        <f>HLOOKUP($B$1, 'New Grawe'!$B$1:$BK$10,10,)</f>
        <v>42546</v>
      </c>
      <c r="H47" s="5">
        <f t="shared" si="20"/>
        <v>91.842417701025369</v>
      </c>
      <c r="I47" s="3">
        <f>HLOOKUP($B$1, 'New WICHE'!$B$1:$BK$10, 10,)</f>
        <v>50800</v>
      </c>
      <c r="J47" s="5">
        <f t="shared" si="21"/>
        <v>96.6698382492864</v>
      </c>
      <c r="K47">
        <v>100</v>
      </c>
      <c r="M47" s="5">
        <f t="shared" si="22"/>
        <v>96.791590761946225</v>
      </c>
      <c r="N47" s="5">
        <f t="shared" si="18"/>
        <v>94.256127975155891</v>
      </c>
    </row>
    <row r="48" spans="2:14">
      <c r="B48" s="6" t="s">
        <v>20</v>
      </c>
      <c r="C48" s="7"/>
      <c r="D48" s="8">
        <f>(D44-D39)/D39</f>
        <v>5.5047437436730462E-2</v>
      </c>
      <c r="E48" s="8"/>
      <c r="F48" s="8">
        <f>(F44-F39)/F39</f>
        <v>4.5141582622187711E-2</v>
      </c>
      <c r="G48" s="9"/>
      <c r="H48" s="8">
        <f>(H44-H39)/H39</f>
        <v>-2.2234214786833206E-3</v>
      </c>
      <c r="I48" s="10"/>
      <c r="J48" s="8">
        <f>(J44-J39)/J39</f>
        <v>2.0742150333016126E-2</v>
      </c>
      <c r="K48" s="7"/>
      <c r="L48" s="6" t="s">
        <v>20</v>
      </c>
      <c r="M48" s="8">
        <f>(M44-M39)/M39</f>
        <v>5.009451002945909E-2</v>
      </c>
      <c r="N48" s="8">
        <f>(N44-N39)/N39</f>
        <v>9.2593644271664749E-3</v>
      </c>
    </row>
    <row r="49" spans="2:14">
      <c r="B49" s="6" t="s">
        <v>21</v>
      </c>
      <c r="C49" s="7"/>
      <c r="D49" s="8">
        <f>(D47-D44)/D44</f>
        <v>-9.3004055539130104E-2</v>
      </c>
      <c r="E49" s="8"/>
      <c r="F49" s="8">
        <f>(F47-F44)/F44</f>
        <v>-6.3372767339364505E-2</v>
      </c>
      <c r="G49" s="9"/>
      <c r="H49" s="8">
        <f>(H47-H44)/H44</f>
        <v>-7.9529228505906144E-2</v>
      </c>
      <c r="I49" s="10"/>
      <c r="J49" s="8">
        <f>(J47-J44)/J44</f>
        <v>-5.2945563012677006E-2</v>
      </c>
      <c r="K49" s="7"/>
      <c r="L49" s="6" t="s">
        <v>21</v>
      </c>
      <c r="M49" s="8">
        <f>(M47-M44)/M44</f>
        <v>-7.8258291634808588E-2</v>
      </c>
      <c r="N49" s="8">
        <f>(N47-N44)/N44</f>
        <v>-6.6086168755505117E-2</v>
      </c>
    </row>
    <row r="50" spans="2:14">
      <c r="B50" s="6" t="s">
        <v>22</v>
      </c>
      <c r="C50" s="7"/>
      <c r="D50" s="8">
        <f>(D47-D39)/D39</f>
        <v>-4.3076253031052121E-2</v>
      </c>
      <c r="E50" s="8"/>
      <c r="F50" s="8">
        <f>(F47-F39)/F39</f>
        <v>-2.109193173002339E-2</v>
      </c>
      <c r="G50" s="9"/>
      <c r="H50" s="8">
        <f>(H47-H39)/H39</f>
        <v>-8.1575822989746319E-2</v>
      </c>
      <c r="I50" s="10"/>
      <c r="J50" s="8">
        <f>(J47-J39)/J39</f>
        <v>-3.3301617507135998E-2</v>
      </c>
      <c r="K50" s="7"/>
      <c r="L50" s="6" t="s">
        <v>22</v>
      </c>
      <c r="M50" s="8">
        <f>(M47-M39)/M39</f>
        <v>-3.2084092380537756E-2</v>
      </c>
      <c r="N50" s="8">
        <f>(N47-N39)/N39</f>
        <v>-5.7438720248441086E-2</v>
      </c>
    </row>
    <row r="51" spans="2:14" s="19" customFormat="1">
      <c r="B51" s="18"/>
      <c r="D51" s="20"/>
      <c r="E51" s="20"/>
      <c r="F51" s="20"/>
      <c r="G51" s="21"/>
      <c r="H51" s="20"/>
      <c r="I51" s="22"/>
      <c r="J51" s="20"/>
      <c r="L51" s="18"/>
      <c r="M51" s="20"/>
      <c r="N51" s="20"/>
    </row>
    <row r="52" spans="2:14" s="19" customFormat="1">
      <c r="B52" s="18"/>
      <c r="D52" s="20"/>
      <c r="E52" s="20"/>
      <c r="F52" s="20"/>
      <c r="G52" s="21"/>
      <c r="H52" s="20"/>
      <c r="I52" s="22"/>
      <c r="J52" s="20"/>
      <c r="L52" s="18"/>
      <c r="M52" s="20"/>
      <c r="N52" s="20"/>
    </row>
    <row r="53" spans="2:14" s="19" customFormat="1">
      <c r="B53" s="18"/>
      <c r="D53" s="20"/>
      <c r="E53" s="20"/>
      <c r="F53" s="20"/>
      <c r="G53" s="21"/>
      <c r="H53" s="20"/>
      <c r="I53" s="22"/>
      <c r="J53" s="20"/>
      <c r="L53" s="18"/>
      <c r="M53" s="20"/>
      <c r="N53" s="20"/>
    </row>
    <row r="54" spans="2:14" s="19" customFormat="1">
      <c r="B54" s="18"/>
      <c r="D54" s="20"/>
      <c r="E54" s="20"/>
      <c r="F54" s="20"/>
      <c r="G54" s="21"/>
      <c r="H54" s="20"/>
      <c r="I54" s="22"/>
      <c r="J54" s="20"/>
      <c r="L54" s="18"/>
      <c r="M54" s="20"/>
      <c r="N54" s="20"/>
    </row>
    <row r="55" spans="2:14" s="19" customFormat="1">
      <c r="B55" s="18"/>
      <c r="D55" s="20"/>
      <c r="E55" s="20"/>
      <c r="F55" s="20"/>
      <c r="G55" s="21"/>
      <c r="H55" s="20"/>
      <c r="I55" s="22"/>
      <c r="J55" s="20"/>
      <c r="L55" s="18"/>
      <c r="M55" s="20"/>
      <c r="N55" s="20"/>
    </row>
    <row r="56" spans="2:14" s="19" customFormat="1">
      <c r="B56" s="18"/>
      <c r="D56" s="20"/>
      <c r="E56" s="20"/>
      <c r="F56" s="20"/>
      <c r="G56" s="21"/>
      <c r="H56" s="20"/>
      <c r="I56" s="22"/>
      <c r="J56" s="20"/>
      <c r="L56" s="18"/>
      <c r="M56" s="20"/>
      <c r="N56" s="20"/>
    </row>
    <row r="57" spans="2:14" s="19" customFormat="1">
      <c r="B57" s="18"/>
      <c r="D57" s="20"/>
      <c r="E57" s="20"/>
      <c r="F57" s="20"/>
      <c r="G57" s="21"/>
      <c r="H57" s="20"/>
      <c r="I57" s="22"/>
      <c r="J57" s="20"/>
      <c r="L57" s="18"/>
      <c r="M57" s="20"/>
      <c r="N57" s="20"/>
    </row>
    <row r="58" spans="2:14">
      <c r="B58" s="18"/>
      <c r="C58" s="19"/>
      <c r="D58" s="20"/>
      <c r="E58" s="20"/>
      <c r="F58" s="20"/>
      <c r="G58" s="21"/>
      <c r="H58" s="20"/>
      <c r="I58" s="22"/>
      <c r="J58" s="20"/>
      <c r="K58" s="19"/>
      <c r="L58" s="18"/>
      <c r="M58" s="20"/>
      <c r="N58" s="20"/>
    </row>
    <row r="59" spans="2:14">
      <c r="B59" s="18"/>
      <c r="C59" s="19"/>
      <c r="D59" s="20"/>
      <c r="E59" s="20"/>
      <c r="F59" s="20"/>
      <c r="G59" s="21"/>
      <c r="H59" s="20"/>
      <c r="I59" s="22"/>
      <c r="J59" s="20"/>
      <c r="K59" s="19"/>
      <c r="L59" s="18"/>
      <c r="M59" s="20"/>
      <c r="N59" s="20"/>
    </row>
    <row r="60" spans="2:14">
      <c r="B60" s="18"/>
      <c r="C60" s="19"/>
      <c r="D60" s="20"/>
      <c r="E60" s="20"/>
      <c r="F60" s="20"/>
      <c r="G60" s="21"/>
      <c r="H60" s="20"/>
      <c r="I60" s="22"/>
      <c r="J60" s="20"/>
      <c r="K60" s="19"/>
      <c r="L60" s="18"/>
      <c r="M60" s="20"/>
      <c r="N60" s="20"/>
    </row>
    <row r="61" spans="2:14">
      <c r="B61" s="18"/>
      <c r="C61" s="19"/>
      <c r="D61" s="20"/>
      <c r="E61" s="20"/>
      <c r="F61" s="20"/>
      <c r="G61" s="21"/>
      <c r="H61" s="20"/>
      <c r="I61" s="22"/>
      <c r="J61" s="20"/>
      <c r="K61" s="19"/>
      <c r="L61" s="18"/>
      <c r="M61" s="20"/>
      <c r="N61" s="20"/>
    </row>
    <row r="62" spans="2:14">
      <c r="B62" s="18"/>
      <c r="C62" s="19"/>
      <c r="D62" s="20"/>
      <c r="E62" s="20"/>
      <c r="F62" s="20"/>
      <c r="G62" s="21"/>
      <c r="H62" s="20"/>
      <c r="I62" s="22"/>
      <c r="J62" s="20"/>
      <c r="K62" s="19"/>
      <c r="L62" s="18"/>
      <c r="M62" s="20"/>
      <c r="N62" s="20"/>
    </row>
    <row r="63" spans="2:14">
      <c r="B63" s="18"/>
      <c r="C63" s="19"/>
      <c r="D63" s="20"/>
      <c r="E63" s="20"/>
      <c r="F63" s="20"/>
      <c r="G63" s="21"/>
      <c r="H63" s="20"/>
      <c r="I63" s="22"/>
      <c r="J63" s="20"/>
      <c r="K63" s="19"/>
      <c r="L63" s="18"/>
      <c r="M63" s="20"/>
      <c r="N63" s="20"/>
    </row>
    <row r="64" spans="2:14">
      <c r="B64" s="18"/>
      <c r="C64" s="19"/>
      <c r="D64" s="20"/>
      <c r="E64" s="20"/>
      <c r="F64" s="20"/>
      <c r="G64" s="21"/>
      <c r="H64" s="20"/>
      <c r="I64" s="22"/>
      <c r="J64" s="20"/>
      <c r="K64" s="19"/>
      <c r="L64" s="18"/>
      <c r="M64" s="20"/>
      <c r="N64" s="20"/>
    </row>
    <row r="65" spans="2:14">
      <c r="B65" s="18"/>
      <c r="C65" s="19"/>
      <c r="D65" s="20"/>
      <c r="E65" s="20"/>
      <c r="F65" s="20"/>
      <c r="G65" s="21"/>
      <c r="H65" s="20"/>
      <c r="I65" s="22"/>
      <c r="J65" s="20"/>
      <c r="K65" s="19"/>
      <c r="L65" s="18"/>
      <c r="M65" s="20"/>
      <c r="N65" s="20"/>
    </row>
    <row r="66" spans="2:14">
      <c r="B66" s="18"/>
      <c r="C66" s="19"/>
      <c r="D66" s="20"/>
      <c r="E66" s="20"/>
      <c r="F66" s="20"/>
      <c r="G66" s="21"/>
      <c r="H66" s="20"/>
      <c r="I66" s="22"/>
      <c r="J66" s="20"/>
      <c r="K66" s="19"/>
      <c r="L66" s="18"/>
      <c r="M66" s="20"/>
      <c r="N66" s="20"/>
    </row>
    <row r="67" spans="2:14">
      <c r="B67" s="18"/>
      <c r="C67" s="19"/>
      <c r="D67" s="20"/>
      <c r="E67" s="20"/>
      <c r="F67" s="20"/>
      <c r="G67" s="21"/>
      <c r="H67" s="20"/>
      <c r="I67" s="22"/>
      <c r="J67" s="20"/>
      <c r="K67" s="19"/>
      <c r="L67" s="18"/>
      <c r="M67" s="20"/>
      <c r="N67" s="20"/>
    </row>
    <row r="68" spans="2:14">
      <c r="B68" s="19"/>
      <c r="C68" s="19"/>
      <c r="D68" s="19"/>
      <c r="E68" s="19"/>
      <c r="F68" s="19"/>
      <c r="G68" s="19"/>
      <c r="H68" s="19"/>
      <c r="I68" s="19"/>
      <c r="J68" s="19"/>
      <c r="K68" s="19"/>
      <c r="L68" s="19"/>
      <c r="M68" s="19"/>
      <c r="N68" s="19"/>
    </row>
    <row r="69" spans="2:14" ht="28.5">
      <c r="B69" s="78" t="s">
        <v>29</v>
      </c>
      <c r="C69" s="78"/>
      <c r="D69" s="78"/>
      <c r="E69" s="78"/>
      <c r="F69" s="78"/>
      <c r="G69" s="78"/>
      <c r="H69" s="78"/>
      <c r="I69" s="78"/>
      <c r="J69" s="78"/>
      <c r="K69" s="78"/>
      <c r="L69" s="78"/>
      <c r="M69" s="78"/>
      <c r="N69" s="78"/>
    </row>
    <row r="70" spans="2:14">
      <c r="C70" t="str">
        <f>IF('Contiguous State Helper Tables'!Q17=0, "", 'Contiguous State Helper Tables'!Q17)</f>
        <v>AL</v>
      </c>
      <c r="D70" t="str">
        <f>IF('Contiguous State Helper Tables'!R17=0, "", 'Contiguous State Helper Tables'!R17)</f>
        <v>FL</v>
      </c>
      <c r="E70" t="str">
        <f>IF('Contiguous State Helper Tables'!S17=0, "", 'Contiguous State Helper Tables'!S17)</f>
        <v>GA</v>
      </c>
      <c r="F70" t="str">
        <f>IF('Contiguous State Helper Tables'!T17=0, "", 'Contiguous State Helper Tables'!T17)</f>
        <v>TN</v>
      </c>
      <c r="G70" t="str">
        <f>IF('Contiguous State Helper Tables'!U17=0, "", 'Contiguous State Helper Tables'!U17)</f>
        <v>MS</v>
      </c>
      <c r="H70" t="str">
        <f>IF('Contiguous State Helper Tables'!V17=0, "", 'Contiguous State Helper Tables'!V17)</f>
        <v/>
      </c>
      <c r="I70" t="str">
        <f>IF('Contiguous State Helper Tables'!W17=0, "", 'Contiguous State Helper Tables'!W17)</f>
        <v/>
      </c>
      <c r="J70" t="str">
        <f>IF('Contiguous State Helper Tables'!X17=0, "", 'Contiguous State Helper Tables'!X17)</f>
        <v/>
      </c>
      <c r="K70" t="str">
        <f>IF('Contiguous State Helper Tables'!Y17=0, "", 'Contiguous State Helper Tables'!Y17)</f>
        <v/>
      </c>
      <c r="L70" t="str">
        <f>IF('Contiguous State Helper Tables'!Z17=0, "", 'Contiguous State Helper Tables'!Z17)</f>
        <v/>
      </c>
      <c r="M70" t="str">
        <f>IF('Contiguous State Helper Tables'!AA17=0, "", 'Contiguous State Helper Tables'!AA17)</f>
        <v/>
      </c>
      <c r="N70" t="str">
        <f>IF('Contiguous State Helper Tables'!AB17=0, "", 'Contiguous State Helper Tables'!AB17)</f>
        <v/>
      </c>
    </row>
    <row r="71" spans="2:14">
      <c r="B71">
        <v>2020</v>
      </c>
      <c r="C71" s="23">
        <f>IF(C70="", "", 'Contiguous State Helper Tables'!Q18)</f>
        <v>100</v>
      </c>
      <c r="D71" s="23">
        <f>IF(D70="", "", 'Contiguous State Helper Tables'!R18)</f>
        <v>100</v>
      </c>
      <c r="E71" s="23">
        <f>IF(E70="", "", 'Contiguous State Helper Tables'!S18)</f>
        <v>100</v>
      </c>
      <c r="F71" s="23">
        <f>IF(F70="", "", 'Contiguous State Helper Tables'!T18)</f>
        <v>100</v>
      </c>
      <c r="G71" s="23">
        <f>IF(G70="", "", 'Contiguous State Helper Tables'!U18)</f>
        <v>100</v>
      </c>
      <c r="H71" s="23" t="str">
        <f>IF(H70="", "", 'Contiguous State Helper Tables'!V18)</f>
        <v/>
      </c>
      <c r="I71" s="23" t="str">
        <f>IF(I70="", "", 'Contiguous State Helper Tables'!W18)</f>
        <v/>
      </c>
      <c r="J71" s="23" t="str">
        <f>IF(J70="", "", 'Contiguous State Helper Tables'!X18)</f>
        <v/>
      </c>
      <c r="K71" s="23" t="str">
        <f>IF(K70="", "", 'Contiguous State Helper Tables'!Y18)</f>
        <v/>
      </c>
      <c r="L71" s="23" t="str">
        <f>IF(L70="", "", 'Contiguous State Helper Tables'!Z18)</f>
        <v/>
      </c>
      <c r="M71" s="23" t="str">
        <f>IF(M70="", "", 'Contiguous State Helper Tables'!AA18)</f>
        <v/>
      </c>
      <c r="N71" s="23" t="str">
        <f>IF(N70="", "", 'Contiguous State Helper Tables'!AB18)</f>
        <v/>
      </c>
    </row>
    <row r="72" spans="2:14">
      <c r="B72">
        <v>2021</v>
      </c>
      <c r="C72" s="23">
        <f>IF('Contiguous State Helper Tables'!Q19=0, "", 'Contiguous State Helper Tables'!Q19)</f>
        <v>96.908217446270541</v>
      </c>
      <c r="D72" s="23">
        <f>IF('Contiguous State Helper Tables'!R19=0, "", 'Contiguous State Helper Tables'!R19)</f>
        <v>101.93395021272342</v>
      </c>
      <c r="E72" s="23">
        <f>IF('Contiguous State Helper Tables'!S19=0, "", 'Contiguous State Helper Tables'!S19)</f>
        <v>101.02363500892378</v>
      </c>
      <c r="F72" s="23">
        <f>IF('Contiguous State Helper Tables'!T19=0, "", 'Contiguous State Helper Tables'!T19)</f>
        <v>102.4728290277198</v>
      </c>
      <c r="G72" s="23">
        <f>IF('Contiguous State Helper Tables'!U19=0, "", 'Contiguous State Helper Tables'!U19)</f>
        <v>100.43530497466524</v>
      </c>
      <c r="H72" s="23" t="str">
        <f>IF('Contiguous State Helper Tables'!V19=0, "", 'Contiguous State Helper Tables'!V19)</f>
        <v/>
      </c>
      <c r="I72" s="23" t="str">
        <f>IF('Contiguous State Helper Tables'!W19=0, "", 'Contiguous State Helper Tables'!W19)</f>
        <v/>
      </c>
      <c r="J72" s="23" t="str">
        <f>IF('Contiguous State Helper Tables'!X19=0, "", 'Contiguous State Helper Tables'!X19)</f>
        <v/>
      </c>
      <c r="K72" s="23" t="str">
        <f>IF('Contiguous State Helper Tables'!Y19=0, "", 'Contiguous State Helper Tables'!Y19)</f>
        <v/>
      </c>
      <c r="L72" s="23" t="str">
        <f>IF('Contiguous State Helper Tables'!Z19=0, "", 'Contiguous State Helper Tables'!Z19)</f>
        <v/>
      </c>
      <c r="M72" s="23" t="str">
        <f>IF('Contiguous State Helper Tables'!AA19=0, "", 'Contiguous State Helper Tables'!AA19)</f>
        <v/>
      </c>
      <c r="N72" s="23" t="str">
        <f>IF('Contiguous State Helper Tables'!AB19=0, "", 'Contiguous State Helper Tables'!AB19)</f>
        <v/>
      </c>
    </row>
    <row r="73" spans="2:14">
      <c r="B73">
        <v>2022</v>
      </c>
      <c r="C73" s="23">
        <f>IF('Contiguous State Helper Tables'!Q20=0, "", 'Contiguous State Helper Tables'!Q20)</f>
        <v>94.944121365360303</v>
      </c>
      <c r="D73" s="23">
        <f>IF('Contiguous State Helper Tables'!R20=0, "", 'Contiguous State Helper Tables'!R20)</f>
        <v>103.44606378369971</v>
      </c>
      <c r="E73" s="23">
        <f>IF('Contiguous State Helper Tables'!S20=0, "", 'Contiguous State Helper Tables'!S20)</f>
        <v>97.004903744520107</v>
      </c>
      <c r="F73" s="23">
        <f>IF('Contiguous State Helper Tables'!T20=0, "", 'Contiguous State Helper Tables'!T20)</f>
        <v>102.23667733407542</v>
      </c>
      <c r="G73" s="23">
        <f>IF('Contiguous State Helper Tables'!U20=0, "", 'Contiguous State Helper Tables'!U20)</f>
        <v>102.42290748898679</v>
      </c>
      <c r="H73" s="23" t="str">
        <f>IF('Contiguous State Helper Tables'!V20=0, "", 'Contiguous State Helper Tables'!V20)</f>
        <v/>
      </c>
      <c r="I73" s="23" t="str">
        <f>IF('Contiguous State Helper Tables'!W20=0, "", 'Contiguous State Helper Tables'!W20)</f>
        <v/>
      </c>
      <c r="J73" s="23" t="str">
        <f>IF('Contiguous State Helper Tables'!X20=0, "", 'Contiguous State Helper Tables'!X20)</f>
        <v/>
      </c>
      <c r="K73" s="23" t="str">
        <f>IF('Contiguous State Helper Tables'!Y20=0, "", 'Contiguous State Helper Tables'!Y20)</f>
        <v/>
      </c>
      <c r="L73" s="23" t="str">
        <f>IF('Contiguous State Helper Tables'!Z20=0, "", 'Contiguous State Helper Tables'!Z20)</f>
        <v/>
      </c>
      <c r="M73" s="23" t="str">
        <f>IF('Contiguous State Helper Tables'!AA20=0, "", 'Contiguous State Helper Tables'!AA20)</f>
        <v/>
      </c>
      <c r="N73" s="23" t="str">
        <f>IF('Contiguous State Helper Tables'!AB20=0, "", 'Contiguous State Helper Tables'!AB20)</f>
        <v/>
      </c>
    </row>
    <row r="74" spans="2:14">
      <c r="B74">
        <v>2023</v>
      </c>
      <c r="C74" s="23">
        <f>IF('Contiguous State Helper Tables'!Q21=0, "", 'Contiguous State Helper Tables'!Q21)</f>
        <v>98.783312262958276</v>
      </c>
      <c r="D74" s="23">
        <f>IF('Contiguous State Helper Tables'!R21=0, "", 'Contiguous State Helper Tables'!R21)</f>
        <v>105.29503571309556</v>
      </c>
      <c r="E74" s="23">
        <f>IF('Contiguous State Helper Tables'!S21=0, "", 'Contiguous State Helper Tables'!S21)</f>
        <v>97.296875812236834</v>
      </c>
      <c r="F74" s="23">
        <f>IF('Contiguous State Helper Tables'!T21=0, "", 'Contiguous State Helper Tables'!T21)</f>
        <v>103.92143221557441</v>
      </c>
      <c r="G74" s="23">
        <f>IF('Contiguous State Helper Tables'!U21=0, "", 'Contiguous State Helper Tables'!U21)</f>
        <v>99.946892793090839</v>
      </c>
      <c r="H74" s="23" t="str">
        <f>IF('Contiguous State Helper Tables'!V21=0, "", 'Contiguous State Helper Tables'!V21)</f>
        <v/>
      </c>
      <c r="I74" s="23" t="str">
        <f>IF('Contiguous State Helper Tables'!W21=0, "", 'Contiguous State Helper Tables'!W21)</f>
        <v/>
      </c>
      <c r="J74" s="23" t="str">
        <f>IF('Contiguous State Helper Tables'!X21=0, "", 'Contiguous State Helper Tables'!X21)</f>
        <v/>
      </c>
      <c r="K74" s="23" t="str">
        <f>IF('Contiguous State Helper Tables'!Y21=0, "", 'Contiguous State Helper Tables'!Y21)</f>
        <v/>
      </c>
      <c r="L74" s="23" t="str">
        <f>IF('Contiguous State Helper Tables'!Z21=0, "", 'Contiguous State Helper Tables'!Z21)</f>
        <v/>
      </c>
      <c r="M74" s="23" t="str">
        <f>IF('Contiguous State Helper Tables'!AA21=0, "", 'Contiguous State Helper Tables'!AA21)</f>
        <v/>
      </c>
      <c r="N74" s="23" t="str">
        <f>IF('Contiguous State Helper Tables'!AB21=0, "", 'Contiguous State Helper Tables'!AB21)</f>
        <v/>
      </c>
    </row>
    <row r="75" spans="2:14">
      <c r="B75">
        <v>2024</v>
      </c>
      <c r="C75" s="23">
        <f>IF('Contiguous State Helper Tables'!Q22=0, "", 'Contiguous State Helper Tables'!Q22)</f>
        <v>100.61390644753476</v>
      </c>
      <c r="D75" s="23">
        <f>IF('Contiguous State Helper Tables'!R22=0, "", 'Contiguous State Helper Tables'!R22)</f>
        <v>107.47364562389612</v>
      </c>
      <c r="E75" s="23">
        <f>IF('Contiguous State Helper Tables'!S22=0, "", 'Contiguous State Helper Tables'!S22)</f>
        <v>100.21009859472198</v>
      </c>
      <c r="F75" s="23">
        <f>IF('Contiguous State Helper Tables'!T22=0, "", 'Contiguous State Helper Tables'!T22)</f>
        <v>104.48263067575716</v>
      </c>
      <c r="G75" s="23">
        <f>IF('Contiguous State Helper Tables'!U22=0, "", 'Contiguous State Helper Tables'!U22)</f>
        <v>104.64035102993157</v>
      </c>
      <c r="H75" s="23" t="str">
        <f>IF('Contiguous State Helper Tables'!V22=0, "", 'Contiguous State Helper Tables'!V22)</f>
        <v/>
      </c>
      <c r="I75" s="23" t="str">
        <f>IF('Contiguous State Helper Tables'!W22=0, "", 'Contiguous State Helper Tables'!W22)</f>
        <v/>
      </c>
      <c r="J75" s="23" t="str">
        <f>IF('Contiguous State Helper Tables'!X22=0, "", 'Contiguous State Helper Tables'!X22)</f>
        <v/>
      </c>
      <c r="K75" s="23" t="str">
        <f>IF('Contiguous State Helper Tables'!Y22=0, "", 'Contiguous State Helper Tables'!Y22)</f>
        <v/>
      </c>
      <c r="L75" s="23" t="str">
        <f>IF('Contiguous State Helper Tables'!Z22=0, "", 'Contiguous State Helper Tables'!Z22)</f>
        <v/>
      </c>
      <c r="M75" s="23" t="str">
        <f>IF('Contiguous State Helper Tables'!AA22=0, "", 'Contiguous State Helper Tables'!AA22)</f>
        <v/>
      </c>
      <c r="N75" s="23" t="str">
        <f>IF('Contiguous State Helper Tables'!AB22=0, "", 'Contiguous State Helper Tables'!AB22)</f>
        <v/>
      </c>
    </row>
    <row r="76" spans="2:14">
      <c r="B76">
        <v>2025</v>
      </c>
      <c r="C76" s="23">
        <f>IF('Contiguous State Helper Tables'!Q23=0, "", 'Contiguous State Helper Tables'!Q23)</f>
        <v>100.99823008849557</v>
      </c>
      <c r="D76" s="23">
        <f>IF('Contiguous State Helper Tables'!R23=0, "", 'Contiguous State Helper Tables'!R23)</f>
        <v>109.80888217455541</v>
      </c>
      <c r="E76" s="23">
        <f>IF('Contiguous State Helper Tables'!S23=0, "", 'Contiguous State Helper Tables'!S23)</f>
        <v>102.00005198315745</v>
      </c>
      <c r="F76" s="23">
        <f>IF('Contiguous State Helper Tables'!T23=0, "", 'Contiguous State Helper Tables'!T23)</f>
        <v>107.28243897159994</v>
      </c>
      <c r="G76" s="23">
        <f>IF('Contiguous State Helper Tables'!U23=0, "", 'Contiguous State Helper Tables'!U23)</f>
        <v>110.16872420818025</v>
      </c>
      <c r="H76" s="23" t="str">
        <f>IF('Contiguous State Helper Tables'!V23=0, "", 'Contiguous State Helper Tables'!V23)</f>
        <v/>
      </c>
      <c r="I76" s="23" t="str">
        <f>IF('Contiguous State Helper Tables'!W23=0, "", 'Contiguous State Helper Tables'!W23)</f>
        <v/>
      </c>
      <c r="J76" s="23" t="str">
        <f>IF('Contiguous State Helper Tables'!X23=0, "", 'Contiguous State Helper Tables'!X23)</f>
        <v/>
      </c>
      <c r="K76" s="23" t="str">
        <f>IF('Contiguous State Helper Tables'!Y23=0, "", 'Contiguous State Helper Tables'!Y23)</f>
        <v/>
      </c>
      <c r="L76" s="23" t="str">
        <f>IF('Contiguous State Helper Tables'!Z23=0, "", 'Contiguous State Helper Tables'!Z23)</f>
        <v/>
      </c>
      <c r="M76" s="23" t="str">
        <f>IF('Contiguous State Helper Tables'!AA23=0, "", 'Contiguous State Helper Tables'!AA23)</f>
        <v/>
      </c>
      <c r="N76" s="23" t="str">
        <f>IF('Contiguous State Helper Tables'!AB23=0, "", 'Contiguous State Helper Tables'!AB23)</f>
        <v/>
      </c>
    </row>
    <row r="77" spans="2:14">
      <c r="B77">
        <v>2026</v>
      </c>
      <c r="C77" s="23">
        <f>IF('Contiguous State Helper Tables'!Q24=0, "", 'Contiguous State Helper Tables'!Q24)</f>
        <v>102.1299620733249</v>
      </c>
      <c r="D77" s="23">
        <f>IF('Contiguous State Helper Tables'!R24=0, "", 'Contiguous State Helper Tables'!R24)</f>
        <v>110.5050931428635</v>
      </c>
      <c r="E77" s="23">
        <f>IF('Contiguous State Helper Tables'!S24=0, "", 'Contiguous State Helper Tables'!S24)</f>
        <v>100.02945712255895</v>
      </c>
      <c r="F77" s="23">
        <f>IF('Contiguous State Helper Tables'!T24=0, "", 'Contiguous State Helper Tables'!T24)</f>
        <v>107.55453519471887</v>
      </c>
      <c r="G77" s="23">
        <f>IF('Contiguous State Helper Tables'!U24=0, "", 'Contiguous State Helper Tables'!U24)</f>
        <v>104.77268374222982</v>
      </c>
      <c r="H77" s="23" t="str">
        <f>IF('Contiguous State Helper Tables'!V24=0, "", 'Contiguous State Helper Tables'!V24)</f>
        <v/>
      </c>
      <c r="I77" s="23" t="str">
        <f>IF('Contiguous State Helper Tables'!W24=0, "", 'Contiguous State Helper Tables'!W24)</f>
        <v/>
      </c>
      <c r="J77" s="23" t="str">
        <f>IF('Contiguous State Helper Tables'!X24=0, "", 'Contiguous State Helper Tables'!X24)</f>
        <v/>
      </c>
      <c r="K77" s="23" t="str">
        <f>IF('Contiguous State Helper Tables'!Y24=0, "", 'Contiguous State Helper Tables'!Y24)</f>
        <v/>
      </c>
      <c r="L77" s="23" t="str">
        <f>IF('Contiguous State Helper Tables'!Z24=0, "", 'Contiguous State Helper Tables'!Z24)</f>
        <v/>
      </c>
      <c r="M77" s="23" t="str">
        <f>IF('Contiguous State Helper Tables'!AA24=0, "", 'Contiguous State Helper Tables'!AA24)</f>
        <v/>
      </c>
      <c r="N77" s="23" t="str">
        <f>IF('Contiguous State Helper Tables'!AB24=0, "", 'Contiguous State Helper Tables'!AB24)</f>
        <v/>
      </c>
    </row>
    <row r="78" spans="2:14">
      <c r="B78">
        <v>2027</v>
      </c>
      <c r="C78" s="23">
        <f>IF('Contiguous State Helper Tables'!Q25=0, "", 'Contiguous State Helper Tables'!Q25)</f>
        <v>97.414917825537302</v>
      </c>
      <c r="D78" s="23">
        <f>IF('Contiguous State Helper Tables'!R25=0, "", 'Contiguous State Helper Tables'!R25)</f>
        <v>108.33620297035202</v>
      </c>
      <c r="E78" s="23">
        <f>IF('Contiguous State Helper Tables'!S25=0, "", 'Contiguous State Helper Tables'!S25)</f>
        <v>97.846164509365636</v>
      </c>
      <c r="F78" s="23">
        <f>IF('Contiguous State Helper Tables'!T25=0, "", 'Contiguous State Helper Tables'!T25)</f>
        <v>103.03170848600097</v>
      </c>
      <c r="G78" s="23">
        <f>IF('Contiguous State Helper Tables'!U25=0, "", 'Contiguous State Helper Tables'!U25)</f>
        <v>99.516811478121568</v>
      </c>
      <c r="H78" s="23" t="str">
        <f>IF('Contiguous State Helper Tables'!V25=0, "", 'Contiguous State Helper Tables'!V25)</f>
        <v/>
      </c>
      <c r="I78" s="23" t="str">
        <f>IF('Contiguous State Helper Tables'!W25=0, "", 'Contiguous State Helper Tables'!W25)</f>
        <v/>
      </c>
      <c r="J78" s="23" t="str">
        <f>IF('Contiguous State Helper Tables'!X25=0, "", 'Contiguous State Helper Tables'!X25)</f>
        <v/>
      </c>
      <c r="K78" s="23" t="str">
        <f>IF('Contiguous State Helper Tables'!Y25=0, "", 'Contiguous State Helper Tables'!Y25)</f>
        <v/>
      </c>
      <c r="L78" s="23" t="str">
        <f>IF('Contiguous State Helper Tables'!Z25=0, "", 'Contiguous State Helper Tables'!Z25)</f>
        <v/>
      </c>
      <c r="M78" s="23" t="str">
        <f>IF('Contiguous State Helper Tables'!AA25=0, "", 'Contiguous State Helper Tables'!AA25)</f>
        <v/>
      </c>
      <c r="N78" s="23" t="str">
        <f>IF('Contiguous State Helper Tables'!AB25=0, "", 'Contiguous State Helper Tables'!AB25)</f>
        <v/>
      </c>
    </row>
    <row r="79" spans="2:14">
      <c r="B79">
        <v>2028</v>
      </c>
      <c r="C79" s="23">
        <f>IF('Contiguous State Helper Tables'!Q26=0, "", 'Contiguous State Helper Tables'!Q26)</f>
        <v>94.408091024020223</v>
      </c>
      <c r="D79" s="23">
        <f>IF('Contiguous State Helper Tables'!R26=0, "", 'Contiguous State Helper Tables'!R26)</f>
        <v>105.68576919231751</v>
      </c>
      <c r="E79" s="23">
        <f>IF('Contiguous State Helper Tables'!S26=0, "", 'Contiguous State Helper Tables'!S26)</f>
        <v>93.466150300635931</v>
      </c>
      <c r="F79" s="23">
        <f>IF('Contiguous State Helper Tables'!T26=0, "", 'Contiguous State Helper Tables'!T26)</f>
        <v>99.482089575313452</v>
      </c>
      <c r="G79" s="23">
        <f>IF('Contiguous State Helper Tables'!U26=0, "", 'Contiguous State Helper Tables'!U26)</f>
        <v>96.467064825616816</v>
      </c>
      <c r="H79" s="23" t="str">
        <f>IF('Contiguous State Helper Tables'!V26=0, "", 'Contiguous State Helper Tables'!V26)</f>
        <v/>
      </c>
      <c r="I79" s="23" t="str">
        <f>IF('Contiguous State Helper Tables'!W26=0, "", 'Contiguous State Helper Tables'!W26)</f>
        <v/>
      </c>
      <c r="J79" s="23" t="str">
        <f>IF('Contiguous State Helper Tables'!X26=0, "", 'Contiguous State Helper Tables'!X26)</f>
        <v/>
      </c>
      <c r="K79" s="23" t="str">
        <f>IF('Contiguous State Helper Tables'!Y26=0, "", 'Contiguous State Helper Tables'!Y26)</f>
        <v/>
      </c>
      <c r="L79" s="23" t="str">
        <f>IF('Contiguous State Helper Tables'!Z26=0, "", 'Contiguous State Helper Tables'!Z26)</f>
        <v/>
      </c>
      <c r="M79" s="23" t="str">
        <f>IF('Contiguous State Helper Tables'!AA26=0, "", 'Contiguous State Helper Tables'!AA26)</f>
        <v/>
      </c>
      <c r="N79" s="23" t="str">
        <f>IF('Contiguous State Helper Tables'!AB26=0, "", 'Contiguous State Helper Tables'!AB26)</f>
        <v/>
      </c>
    </row>
    <row r="80" spans="2:14">
      <c r="B80" s="6" t="s">
        <v>20</v>
      </c>
      <c r="C80" s="8">
        <f t="shared" ref="C80:G80" si="23">(C76-C71)/C71</f>
        <v>9.9823008849557488E-3</v>
      </c>
      <c r="D80" s="8">
        <f t="shared" si="23"/>
        <v>9.808882174555407E-2</v>
      </c>
      <c r="E80" s="8">
        <f t="shared" si="23"/>
        <v>2.0000519831574481E-2</v>
      </c>
      <c r="F80" s="8">
        <f t="shared" si="23"/>
        <v>7.2824389715999444E-2</v>
      </c>
      <c r="G80" s="8">
        <f t="shared" si="23"/>
        <v>0.10168724208180251</v>
      </c>
      <c r="H80" s="8" t="str">
        <f>IFERROR((H76-H71)/H71, "")</f>
        <v/>
      </c>
      <c r="I80" s="8" t="str">
        <f t="shared" ref="I80:N80" si="24">IFERROR((I76-I71)/I71, "")</f>
        <v/>
      </c>
      <c r="J80" s="8" t="str">
        <f t="shared" si="24"/>
        <v/>
      </c>
      <c r="K80" s="8" t="str">
        <f t="shared" si="24"/>
        <v/>
      </c>
      <c r="L80" s="8" t="str">
        <f t="shared" si="24"/>
        <v/>
      </c>
      <c r="M80" s="8" t="str">
        <f t="shared" si="24"/>
        <v/>
      </c>
      <c r="N80" s="8" t="str">
        <f t="shared" si="24"/>
        <v/>
      </c>
    </row>
    <row r="81" spans="2:14">
      <c r="B81" s="6" t="s">
        <v>21</v>
      </c>
      <c r="C81" s="8">
        <f t="shared" ref="C81:G81" si="25">(C79-C76)/C76</f>
        <v>-6.525004506218586E-2</v>
      </c>
      <c r="D81" s="8">
        <f t="shared" si="25"/>
        <v>-3.7548082637647452E-2</v>
      </c>
      <c r="E81" s="8">
        <f t="shared" si="25"/>
        <v>-8.366566013055228E-2</v>
      </c>
      <c r="F81" s="8">
        <f t="shared" si="25"/>
        <v>-7.2708538984198698E-2</v>
      </c>
      <c r="G81" s="8">
        <f t="shared" si="25"/>
        <v>-0.12436977446223398</v>
      </c>
      <c r="H81" s="8" t="str">
        <f>IFERROR((H79-H76)/H76, "")</f>
        <v/>
      </c>
      <c r="I81" s="8" t="str">
        <f t="shared" ref="I81:N81" si="26">IFERROR((I79-I76)/I76, "")</f>
        <v/>
      </c>
      <c r="J81" s="8" t="str">
        <f t="shared" si="26"/>
        <v/>
      </c>
      <c r="K81" s="8" t="str">
        <f t="shared" si="26"/>
        <v/>
      </c>
      <c r="L81" s="8" t="str">
        <f t="shared" si="26"/>
        <v/>
      </c>
      <c r="M81" s="8" t="str">
        <f t="shared" si="26"/>
        <v/>
      </c>
      <c r="N81" s="8" t="str">
        <f t="shared" si="26"/>
        <v/>
      </c>
    </row>
    <row r="82" spans="2:14">
      <c r="B82" s="6" t="s">
        <v>22</v>
      </c>
      <c r="C82" s="8">
        <f t="shared" ref="C82:G82" si="27">(C79-C71)/C71</f>
        <v>-5.5919089759797772E-2</v>
      </c>
      <c r="D82" s="8">
        <f t="shared" si="27"/>
        <v>5.685769192317508E-2</v>
      </c>
      <c r="E82" s="8">
        <f t="shared" si="27"/>
        <v>-6.5338496993640693E-2</v>
      </c>
      <c r="F82" s="8">
        <f t="shared" si="27"/>
        <v>-5.1791042468654781E-3</v>
      </c>
      <c r="G82" s="8">
        <f t="shared" si="27"/>
        <v>-3.5329351743831838E-2</v>
      </c>
      <c r="H82" s="8" t="str">
        <f>IFERROR((H79-H71)/H71,"")</f>
        <v/>
      </c>
      <c r="I82" s="8" t="str">
        <f t="shared" ref="I82:N82" si="28">IFERROR((I79-I71)/I71,"")</f>
        <v/>
      </c>
      <c r="J82" s="8" t="str">
        <f t="shared" si="28"/>
        <v/>
      </c>
      <c r="K82" s="8" t="str">
        <f t="shared" si="28"/>
        <v/>
      </c>
      <c r="L82" s="8" t="str">
        <f t="shared" si="28"/>
        <v/>
      </c>
      <c r="M82" s="8" t="str">
        <f t="shared" si="28"/>
        <v/>
      </c>
      <c r="N82" s="8" t="str">
        <f t="shared" si="28"/>
        <v/>
      </c>
    </row>
    <row r="101" spans="3:3">
      <c r="C101" t="s">
        <v>30</v>
      </c>
    </row>
  </sheetData>
  <sheetProtection sheet="1" scenarios="1"/>
  <mergeCells count="3">
    <mergeCell ref="B6:N6"/>
    <mergeCell ref="B37:N37"/>
    <mergeCell ref="B69:N6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2037C83-C211-4256-BB9D-900C4E3578AF}">
          <x14:formula1>
            <xm:f>'New Grawe'!$B$1:$AZ$1</xm:f>
          </x14:formula1>
          <xm:sqref>B1</xm:sqref>
        </x14:dataValidation>
        <x14:dataValidation type="list" allowBlank="1" showInputMessage="1" showErrorMessage="1" xr:uid="{CE8CD4F9-3754-43BB-8AB6-8614A779372D}">
          <x14:formula1>
            <xm:f>'Proportion inputs'!$A$2:$A$21</xm:f>
          </x14:formula1>
          <xm:sqref>B3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0E358-A137-4530-BCBE-B959F2AF3F50}">
  <sheetPr codeName="Sheet20"/>
  <dimension ref="A1:BJ10"/>
  <sheetViews>
    <sheetView topLeftCell="AA1" workbookViewId="0">
      <selection activeCell="BA1" sqref="BA1:BJ1"/>
    </sheetView>
  </sheetViews>
  <sheetFormatPr defaultRowHeight="15"/>
  <sheetData>
    <row r="1" spans="1:62">
      <c r="A1" s="1" t="s">
        <v>113</v>
      </c>
      <c r="B1" s="1" t="s">
        <v>1</v>
      </c>
      <c r="C1" s="1" t="s">
        <v>107</v>
      </c>
      <c r="D1" s="1" t="s">
        <v>98</v>
      </c>
      <c r="E1" s="1" t="s">
        <v>93</v>
      </c>
      <c r="F1" s="1" t="s">
        <v>109</v>
      </c>
      <c r="G1" s="1" t="s">
        <v>100</v>
      </c>
      <c r="H1" s="1" t="s">
        <v>54</v>
      </c>
      <c r="I1" s="1" t="s">
        <v>79</v>
      </c>
      <c r="J1" s="1" t="s">
        <v>87</v>
      </c>
      <c r="K1" s="1" t="s">
        <v>81</v>
      </c>
      <c r="L1" s="1" t="s">
        <v>82</v>
      </c>
      <c r="M1" s="1" t="s">
        <v>110</v>
      </c>
      <c r="N1" s="1" t="s">
        <v>101</v>
      </c>
      <c r="O1" s="1" t="s">
        <v>65</v>
      </c>
      <c r="P1" s="1" t="s">
        <v>67</v>
      </c>
      <c r="Q1" s="1" t="s">
        <v>71</v>
      </c>
      <c r="R1" s="1" t="s">
        <v>73</v>
      </c>
      <c r="S1" s="1" t="s">
        <v>90</v>
      </c>
      <c r="T1" s="1" t="s">
        <v>95</v>
      </c>
      <c r="U1" s="1" t="s">
        <v>56</v>
      </c>
      <c r="V1" s="1" t="s">
        <v>83</v>
      </c>
      <c r="W1" s="1" t="s">
        <v>57</v>
      </c>
      <c r="X1" s="1" t="s">
        <v>68</v>
      </c>
      <c r="Y1" s="1" t="s">
        <v>74</v>
      </c>
      <c r="Z1" s="1" t="s">
        <v>91</v>
      </c>
      <c r="AA1" s="1" t="s">
        <v>75</v>
      </c>
      <c r="AB1" s="1" t="s">
        <v>102</v>
      </c>
      <c r="AC1" s="1" t="s">
        <v>76</v>
      </c>
      <c r="AD1" s="1" t="s">
        <v>103</v>
      </c>
      <c r="AE1" s="1" t="s">
        <v>58</v>
      </c>
      <c r="AF1" s="1" t="s">
        <v>61</v>
      </c>
      <c r="AG1" s="1" t="s">
        <v>104</v>
      </c>
      <c r="AH1" s="1" t="s">
        <v>63</v>
      </c>
      <c r="AI1" s="1" t="s">
        <v>84</v>
      </c>
      <c r="AJ1" s="1" t="s">
        <v>77</v>
      </c>
      <c r="AK1" s="1" t="s">
        <v>69</v>
      </c>
      <c r="AL1" s="1" t="s">
        <v>96</v>
      </c>
      <c r="AM1" s="1" t="s">
        <v>111</v>
      </c>
      <c r="AN1" s="1" t="s">
        <v>64</v>
      </c>
      <c r="AO1" s="1" t="s">
        <v>59</v>
      </c>
      <c r="AP1" s="1" t="s">
        <v>85</v>
      </c>
      <c r="AQ1" s="1" t="s">
        <v>78</v>
      </c>
      <c r="AR1" s="1" t="s">
        <v>92</v>
      </c>
      <c r="AS1" s="1" t="s">
        <v>97</v>
      </c>
      <c r="AT1" s="1" t="s">
        <v>105</v>
      </c>
      <c r="AU1" s="1" t="s">
        <v>60</v>
      </c>
      <c r="AV1" s="1" t="s">
        <v>86</v>
      </c>
      <c r="AW1" s="1" t="s">
        <v>112</v>
      </c>
      <c r="AX1" s="1" t="s">
        <v>88</v>
      </c>
      <c r="AY1" s="1" t="s">
        <v>70</v>
      </c>
      <c r="AZ1" s="1" t="s">
        <v>106</v>
      </c>
      <c r="BA1" s="1" t="s">
        <v>40</v>
      </c>
      <c r="BB1" s="1" t="s">
        <v>108</v>
      </c>
      <c r="BC1" s="1" t="s">
        <v>99</v>
      </c>
      <c r="BD1" s="1" t="s">
        <v>72</v>
      </c>
      <c r="BE1" s="1" t="s">
        <v>94</v>
      </c>
      <c r="BF1" s="1" t="s">
        <v>66</v>
      </c>
      <c r="BG1" s="1" t="s">
        <v>89</v>
      </c>
      <c r="BH1" s="1" t="s">
        <v>55</v>
      </c>
      <c r="BI1" s="1" t="s">
        <v>62</v>
      </c>
      <c r="BJ1" s="1" t="s">
        <v>80</v>
      </c>
    </row>
    <row r="2" spans="1:62" ht="15.75">
      <c r="A2" s="1">
        <v>2020</v>
      </c>
      <c r="B2" s="57">
        <v>730</v>
      </c>
      <c r="C2" s="58">
        <v>840</v>
      </c>
      <c r="D2" s="59">
        <v>2630</v>
      </c>
      <c r="E2" s="60">
        <v>750</v>
      </c>
      <c r="F2" s="61">
        <v>58910</v>
      </c>
      <c r="G2" s="61">
        <v>2360</v>
      </c>
      <c r="H2" s="61">
        <v>2050</v>
      </c>
      <c r="I2" s="61">
        <v>400</v>
      </c>
      <c r="J2" s="61">
        <v>150</v>
      </c>
      <c r="K2" s="61">
        <v>6200</v>
      </c>
      <c r="L2" s="61">
        <v>5290</v>
      </c>
      <c r="M2" s="61">
        <v>8270</v>
      </c>
      <c r="N2" s="61">
        <v>330</v>
      </c>
      <c r="O2" s="61">
        <v>7470</v>
      </c>
      <c r="P2" s="61">
        <v>1900</v>
      </c>
      <c r="Q2" s="61">
        <v>1050</v>
      </c>
      <c r="R2" s="61">
        <v>1060</v>
      </c>
      <c r="S2" s="61">
        <v>950</v>
      </c>
      <c r="T2" s="61">
        <v>890</v>
      </c>
      <c r="U2" s="61">
        <v>230</v>
      </c>
      <c r="V2" s="61">
        <v>4470</v>
      </c>
      <c r="W2" s="61">
        <v>4550</v>
      </c>
      <c r="X2" s="61">
        <v>3970</v>
      </c>
      <c r="Y2" s="61">
        <v>4290</v>
      </c>
      <c r="Z2" s="61">
        <v>350</v>
      </c>
      <c r="AA2" s="61">
        <v>1480</v>
      </c>
      <c r="AB2" s="61">
        <v>110</v>
      </c>
      <c r="AC2" s="61">
        <v>650</v>
      </c>
      <c r="AD2" s="61">
        <v>2610</v>
      </c>
      <c r="AE2" s="61">
        <v>440</v>
      </c>
      <c r="AF2" s="61">
        <v>10130</v>
      </c>
      <c r="AG2" s="61">
        <v>310</v>
      </c>
      <c r="AH2" s="61">
        <v>18250</v>
      </c>
      <c r="AI2" s="61">
        <v>3730</v>
      </c>
      <c r="AJ2" s="61">
        <v>180</v>
      </c>
      <c r="AK2" s="61">
        <v>3050</v>
      </c>
      <c r="AL2" s="61">
        <v>1090</v>
      </c>
      <c r="AM2" s="61">
        <v>2020</v>
      </c>
      <c r="AN2" s="61">
        <v>5310</v>
      </c>
      <c r="AO2" s="61">
        <v>340</v>
      </c>
      <c r="AP2" s="61">
        <v>960</v>
      </c>
      <c r="AQ2" s="61">
        <v>160</v>
      </c>
      <c r="AR2" s="61">
        <v>1480</v>
      </c>
      <c r="AS2" s="61">
        <v>17510</v>
      </c>
      <c r="AT2" s="61">
        <v>1500</v>
      </c>
      <c r="AU2" s="61">
        <v>190</v>
      </c>
      <c r="AV2" s="61">
        <v>6890</v>
      </c>
      <c r="AW2" s="61">
        <v>6890</v>
      </c>
      <c r="AX2" s="61">
        <v>170</v>
      </c>
      <c r="AY2" s="61">
        <v>2280</v>
      </c>
      <c r="AZ2" s="61">
        <v>60</v>
      </c>
      <c r="BA2" s="72">
        <f>SUM(B2:AZ2)</f>
        <v>207880</v>
      </c>
      <c r="BB2" s="4">
        <f>C2+F2+M2+AM2+AW2</f>
        <v>76930</v>
      </c>
      <c r="BC2" s="4">
        <f>D2+G2+N2+AB2+AD2+AG2+AT2+AZ2</f>
        <v>9910</v>
      </c>
      <c r="BD2" s="4">
        <f>Q2+R2+Y2+AA2+AC2+AJ2+AQ2</f>
        <v>8870</v>
      </c>
      <c r="BE2" s="4">
        <f>E2+T2+AL2+AS2</f>
        <v>20240</v>
      </c>
      <c r="BF2" s="4">
        <f>O2+P2+X2+AK2+AY2</f>
        <v>18670</v>
      </c>
      <c r="BG2" s="4">
        <f>B2+S2+Z2+AR2</f>
        <v>3510</v>
      </c>
      <c r="BH2" s="4">
        <f>H2+U2+W2+AE2+AO2+AU2</f>
        <v>7800</v>
      </c>
      <c r="BI2" s="4">
        <f>AF2+AH2+AN2</f>
        <v>33690</v>
      </c>
      <c r="BJ2" s="73">
        <f>I2+K2+J2+L2+V2+AI2+AP2+AV2+AX2</f>
        <v>28260</v>
      </c>
    </row>
    <row r="3" spans="1:62" ht="15.75">
      <c r="A3" s="1">
        <v>2021</v>
      </c>
      <c r="B3" s="62">
        <v>830</v>
      </c>
      <c r="C3" s="63">
        <v>820</v>
      </c>
      <c r="D3" s="64">
        <v>2750</v>
      </c>
      <c r="E3" s="65">
        <v>810</v>
      </c>
      <c r="F3" s="66">
        <v>60870</v>
      </c>
      <c r="G3" s="66">
        <v>2410</v>
      </c>
      <c r="H3" s="66">
        <v>2010</v>
      </c>
      <c r="I3" s="66">
        <v>400</v>
      </c>
      <c r="J3" s="66">
        <v>180</v>
      </c>
      <c r="K3" s="66">
        <v>6510</v>
      </c>
      <c r="L3" s="66">
        <v>5600</v>
      </c>
      <c r="M3" s="66">
        <v>8060</v>
      </c>
      <c r="N3" s="66">
        <v>330</v>
      </c>
      <c r="O3" s="66">
        <v>7910</v>
      </c>
      <c r="P3" s="66">
        <v>2040</v>
      </c>
      <c r="Q3" s="66">
        <v>1070</v>
      </c>
      <c r="R3" s="66">
        <v>1140</v>
      </c>
      <c r="S3" s="66">
        <v>1050</v>
      </c>
      <c r="T3" s="66">
        <v>880</v>
      </c>
      <c r="U3" s="66">
        <v>230</v>
      </c>
      <c r="V3" s="66">
        <v>4650</v>
      </c>
      <c r="W3" s="66">
        <v>4740</v>
      </c>
      <c r="X3" s="66">
        <v>4140</v>
      </c>
      <c r="Y3" s="66">
        <v>4390</v>
      </c>
      <c r="Z3" s="66">
        <v>370</v>
      </c>
      <c r="AA3" s="66">
        <v>1540</v>
      </c>
      <c r="AB3" s="66">
        <v>100</v>
      </c>
      <c r="AC3" s="66">
        <v>660</v>
      </c>
      <c r="AD3" s="66">
        <v>2660</v>
      </c>
      <c r="AE3" s="66">
        <v>480</v>
      </c>
      <c r="AF3" s="66">
        <v>10650</v>
      </c>
      <c r="AG3" s="66">
        <v>350</v>
      </c>
      <c r="AH3" s="66">
        <v>18370</v>
      </c>
      <c r="AI3" s="66">
        <v>3850</v>
      </c>
      <c r="AJ3" s="66">
        <v>180</v>
      </c>
      <c r="AK3" s="66">
        <v>3170</v>
      </c>
      <c r="AL3" s="66">
        <v>1190</v>
      </c>
      <c r="AM3" s="66">
        <v>2100</v>
      </c>
      <c r="AN3" s="66">
        <v>5540</v>
      </c>
      <c r="AO3" s="66">
        <v>300</v>
      </c>
      <c r="AP3" s="66">
        <v>980</v>
      </c>
      <c r="AQ3" s="66">
        <v>160</v>
      </c>
      <c r="AR3" s="66">
        <v>1560</v>
      </c>
      <c r="AS3" s="66">
        <v>18450</v>
      </c>
      <c r="AT3" s="66">
        <v>1630</v>
      </c>
      <c r="AU3" s="66">
        <v>220</v>
      </c>
      <c r="AV3" s="66">
        <v>7110</v>
      </c>
      <c r="AW3" s="66">
        <v>7110</v>
      </c>
      <c r="AX3" s="66">
        <v>150</v>
      </c>
      <c r="AY3" s="66">
        <v>2390</v>
      </c>
      <c r="AZ3" s="66">
        <v>70</v>
      </c>
      <c r="BA3" s="72">
        <f t="shared" ref="BA3:BA10" si="0">SUM(B3:AZ3)</f>
        <v>215160</v>
      </c>
      <c r="BB3" s="4">
        <f t="shared" ref="BB3:BB10" si="1">C3+F3+M3+AM3+AW3</f>
        <v>78960</v>
      </c>
      <c r="BC3" s="4">
        <f t="shared" ref="BC3:BC10" si="2">D3+G3+N3+AB3+AD3+AG3+AT3+AZ3</f>
        <v>10300</v>
      </c>
      <c r="BD3" s="4">
        <f t="shared" ref="BD3:BD10" si="3">Q3+R3+Y3+AA3+AC3+AJ3+AQ3</f>
        <v>9140</v>
      </c>
      <c r="BE3" s="4">
        <f t="shared" ref="BE3:BE10" si="4">E3+T3+AL3+AS3</f>
        <v>21330</v>
      </c>
      <c r="BF3" s="4">
        <f t="shared" ref="BF3:BF10" si="5">O3+P3+X3+AK3+AY3</f>
        <v>19650</v>
      </c>
      <c r="BG3" s="4">
        <f t="shared" ref="BG3:BG10" si="6">B3+S3+Z3+AR3</f>
        <v>3810</v>
      </c>
      <c r="BH3" s="4">
        <f t="shared" ref="BH3:BH10" si="7">H3+U3+W3+AE3+AO3+AU3</f>
        <v>7980</v>
      </c>
      <c r="BI3" s="4">
        <f t="shared" ref="BI3:BI10" si="8">AF3+AH3+AN3</f>
        <v>34560</v>
      </c>
      <c r="BJ3" s="73">
        <f t="shared" ref="BJ3:BJ10" si="9">I3+K3+J3+L3+V3+AI3+AP3+AV3+AX3</f>
        <v>29430</v>
      </c>
    </row>
    <row r="4" spans="1:62" ht="15.75">
      <c r="A4" s="1">
        <v>2022</v>
      </c>
      <c r="B4" s="62">
        <v>930</v>
      </c>
      <c r="C4" s="63">
        <v>830</v>
      </c>
      <c r="D4" s="64">
        <v>3010</v>
      </c>
      <c r="E4" s="65">
        <v>890</v>
      </c>
      <c r="F4" s="66">
        <v>61380</v>
      </c>
      <c r="G4" s="66">
        <v>2380</v>
      </c>
      <c r="H4" s="66">
        <v>2030</v>
      </c>
      <c r="I4" s="66">
        <v>420</v>
      </c>
      <c r="J4" s="66">
        <v>130</v>
      </c>
      <c r="K4" s="66">
        <v>6630</v>
      </c>
      <c r="L4" s="66">
        <v>5870</v>
      </c>
      <c r="M4" s="66">
        <v>8220</v>
      </c>
      <c r="N4" s="66">
        <v>350</v>
      </c>
      <c r="O4" s="66">
        <v>7950</v>
      </c>
      <c r="P4" s="66">
        <v>2080</v>
      </c>
      <c r="Q4" s="66">
        <v>1070</v>
      </c>
      <c r="R4" s="66">
        <v>1130</v>
      </c>
      <c r="S4" s="66">
        <v>1070</v>
      </c>
      <c r="T4" s="66">
        <v>930</v>
      </c>
      <c r="U4" s="66">
        <v>240</v>
      </c>
      <c r="V4" s="66">
        <v>4680</v>
      </c>
      <c r="W4" s="66">
        <v>4820</v>
      </c>
      <c r="X4" s="66">
        <v>4200</v>
      </c>
      <c r="Y4" s="66">
        <v>4370</v>
      </c>
      <c r="Z4" s="66">
        <v>360</v>
      </c>
      <c r="AA4" s="66">
        <v>1560</v>
      </c>
      <c r="AB4" s="66">
        <v>110</v>
      </c>
      <c r="AC4" s="66">
        <v>710</v>
      </c>
      <c r="AD4" s="66">
        <v>2710</v>
      </c>
      <c r="AE4" s="66">
        <v>490</v>
      </c>
      <c r="AF4" s="66">
        <v>10740</v>
      </c>
      <c r="AG4" s="66">
        <v>300</v>
      </c>
      <c r="AH4" s="66">
        <v>19030</v>
      </c>
      <c r="AI4" s="66">
        <v>3720</v>
      </c>
      <c r="AJ4" s="66">
        <v>180</v>
      </c>
      <c r="AK4" s="66">
        <v>3370</v>
      </c>
      <c r="AL4" s="66">
        <v>1220</v>
      </c>
      <c r="AM4" s="66">
        <v>2180</v>
      </c>
      <c r="AN4" s="66">
        <v>5830</v>
      </c>
      <c r="AO4" s="66">
        <v>320</v>
      </c>
      <c r="AP4" s="66">
        <v>1050</v>
      </c>
      <c r="AQ4" s="66">
        <v>160</v>
      </c>
      <c r="AR4" s="66">
        <v>1600</v>
      </c>
      <c r="AS4" s="66">
        <v>19170</v>
      </c>
      <c r="AT4" s="66">
        <v>1620</v>
      </c>
      <c r="AU4" s="66">
        <v>220</v>
      </c>
      <c r="AV4" s="66">
        <v>7500</v>
      </c>
      <c r="AW4" s="66">
        <v>7360</v>
      </c>
      <c r="AX4" s="66">
        <v>130</v>
      </c>
      <c r="AY4" s="66">
        <v>2480</v>
      </c>
      <c r="AZ4" s="66">
        <v>60</v>
      </c>
      <c r="BA4" s="72">
        <f t="shared" si="0"/>
        <v>219790</v>
      </c>
      <c r="BB4" s="4">
        <f t="shared" si="1"/>
        <v>79970</v>
      </c>
      <c r="BC4" s="4">
        <f t="shared" si="2"/>
        <v>10540</v>
      </c>
      <c r="BD4" s="4">
        <f t="shared" si="3"/>
        <v>9180</v>
      </c>
      <c r="BE4" s="4">
        <f t="shared" si="4"/>
        <v>22210</v>
      </c>
      <c r="BF4" s="4">
        <f t="shared" si="5"/>
        <v>20080</v>
      </c>
      <c r="BG4" s="4">
        <f t="shared" si="6"/>
        <v>3960</v>
      </c>
      <c r="BH4" s="4">
        <f t="shared" si="7"/>
        <v>8120</v>
      </c>
      <c r="BI4" s="4">
        <f t="shared" si="8"/>
        <v>35600</v>
      </c>
      <c r="BJ4" s="73">
        <f t="shared" si="9"/>
        <v>30130</v>
      </c>
    </row>
    <row r="5" spans="1:62" ht="15.75">
      <c r="A5" s="1">
        <v>2023</v>
      </c>
      <c r="B5" s="62">
        <v>920</v>
      </c>
      <c r="C5" s="63">
        <v>870</v>
      </c>
      <c r="D5" s="64">
        <v>2930</v>
      </c>
      <c r="E5" s="65">
        <v>920</v>
      </c>
      <c r="F5" s="66">
        <v>60860</v>
      </c>
      <c r="G5" s="66">
        <v>2420</v>
      </c>
      <c r="H5" s="66">
        <v>2020</v>
      </c>
      <c r="I5" s="66">
        <v>430</v>
      </c>
      <c r="J5" s="66">
        <v>140</v>
      </c>
      <c r="K5" s="66">
        <v>6890</v>
      </c>
      <c r="L5" s="66">
        <v>6020</v>
      </c>
      <c r="M5" s="66">
        <v>8360</v>
      </c>
      <c r="N5" s="66">
        <v>390</v>
      </c>
      <c r="O5" s="66">
        <v>8160</v>
      </c>
      <c r="P5" s="66">
        <v>2080</v>
      </c>
      <c r="Q5" s="66">
        <v>1110</v>
      </c>
      <c r="R5" s="66">
        <v>1060</v>
      </c>
      <c r="S5" s="66">
        <v>1100</v>
      </c>
      <c r="T5" s="66">
        <v>860</v>
      </c>
      <c r="U5" s="66">
        <v>230</v>
      </c>
      <c r="V5" s="66">
        <v>4960</v>
      </c>
      <c r="W5" s="66">
        <v>4840</v>
      </c>
      <c r="X5" s="66">
        <v>4140</v>
      </c>
      <c r="Y5" s="66">
        <v>4590</v>
      </c>
      <c r="Z5" s="66">
        <v>370</v>
      </c>
      <c r="AA5" s="66">
        <v>1510</v>
      </c>
      <c r="AB5" s="66">
        <v>100</v>
      </c>
      <c r="AC5" s="66">
        <v>730</v>
      </c>
      <c r="AD5" s="66">
        <v>2770</v>
      </c>
      <c r="AE5" s="66">
        <v>450</v>
      </c>
      <c r="AF5" s="66">
        <v>10720</v>
      </c>
      <c r="AG5" s="66">
        <v>320</v>
      </c>
      <c r="AH5" s="66">
        <v>19090</v>
      </c>
      <c r="AI5" s="66">
        <v>4100</v>
      </c>
      <c r="AJ5" s="66">
        <v>150</v>
      </c>
      <c r="AK5" s="66">
        <v>3590</v>
      </c>
      <c r="AL5" s="66">
        <v>1090</v>
      </c>
      <c r="AM5" s="66">
        <v>2070</v>
      </c>
      <c r="AN5" s="66">
        <v>5790</v>
      </c>
      <c r="AO5" s="66">
        <v>290</v>
      </c>
      <c r="AP5" s="66">
        <v>1060</v>
      </c>
      <c r="AQ5" s="66">
        <v>170</v>
      </c>
      <c r="AR5" s="66">
        <v>1560</v>
      </c>
      <c r="AS5" s="66">
        <v>20010</v>
      </c>
      <c r="AT5" s="66">
        <v>1640</v>
      </c>
      <c r="AU5" s="66">
        <v>230</v>
      </c>
      <c r="AV5" s="66">
        <v>7450</v>
      </c>
      <c r="AW5" s="66">
        <v>7520</v>
      </c>
      <c r="AX5" s="66">
        <v>150</v>
      </c>
      <c r="AY5" s="66">
        <v>2490</v>
      </c>
      <c r="AZ5" s="66">
        <v>60</v>
      </c>
      <c r="BA5" s="72">
        <f t="shared" si="0"/>
        <v>221780</v>
      </c>
      <c r="BB5" s="4">
        <f t="shared" si="1"/>
        <v>79680</v>
      </c>
      <c r="BC5" s="4">
        <f t="shared" si="2"/>
        <v>10630</v>
      </c>
      <c r="BD5" s="4">
        <f t="shared" si="3"/>
        <v>9320</v>
      </c>
      <c r="BE5" s="4">
        <f t="shared" si="4"/>
        <v>22880</v>
      </c>
      <c r="BF5" s="4">
        <f t="shared" si="5"/>
        <v>20460</v>
      </c>
      <c r="BG5" s="4">
        <f t="shared" si="6"/>
        <v>3950</v>
      </c>
      <c r="BH5" s="4">
        <f t="shared" si="7"/>
        <v>8060</v>
      </c>
      <c r="BI5" s="4">
        <f t="shared" si="8"/>
        <v>35600</v>
      </c>
      <c r="BJ5" s="73">
        <f t="shared" si="9"/>
        <v>31200</v>
      </c>
    </row>
    <row r="6" spans="1:62" ht="15.75">
      <c r="A6" s="1">
        <v>2024</v>
      </c>
      <c r="B6" s="62">
        <v>840</v>
      </c>
      <c r="C6" s="63">
        <v>850</v>
      </c>
      <c r="D6" s="64">
        <v>3010</v>
      </c>
      <c r="E6" s="65">
        <v>880</v>
      </c>
      <c r="F6" s="66">
        <v>61230</v>
      </c>
      <c r="G6" s="66">
        <v>2330</v>
      </c>
      <c r="H6" s="66">
        <v>2000</v>
      </c>
      <c r="I6" s="66">
        <v>420</v>
      </c>
      <c r="J6" s="66">
        <v>160</v>
      </c>
      <c r="K6" s="66">
        <v>6990</v>
      </c>
      <c r="L6" s="66">
        <v>6070</v>
      </c>
      <c r="M6" s="66">
        <v>7000</v>
      </c>
      <c r="N6" s="66">
        <v>330</v>
      </c>
      <c r="O6" s="66">
        <v>8040</v>
      </c>
      <c r="P6" s="66">
        <v>2390</v>
      </c>
      <c r="Q6" s="66">
        <v>1110</v>
      </c>
      <c r="R6" s="66">
        <v>1140</v>
      </c>
      <c r="S6" s="66">
        <v>1120</v>
      </c>
      <c r="T6" s="66">
        <v>900</v>
      </c>
      <c r="U6" s="66">
        <v>240</v>
      </c>
      <c r="V6" s="66">
        <v>4950</v>
      </c>
      <c r="W6" s="66">
        <v>4980</v>
      </c>
      <c r="X6" s="66">
        <v>4190</v>
      </c>
      <c r="Y6" s="66">
        <v>4480</v>
      </c>
      <c r="Z6" s="66">
        <v>390</v>
      </c>
      <c r="AA6" s="66">
        <v>1590</v>
      </c>
      <c r="AB6" s="66">
        <v>120</v>
      </c>
      <c r="AC6" s="66">
        <v>750</v>
      </c>
      <c r="AD6" s="66">
        <v>2780</v>
      </c>
      <c r="AE6" s="66">
        <v>470</v>
      </c>
      <c r="AF6" s="66">
        <v>10950</v>
      </c>
      <c r="AG6" s="66">
        <v>320</v>
      </c>
      <c r="AH6" s="66">
        <v>19820</v>
      </c>
      <c r="AI6" s="66">
        <v>4590</v>
      </c>
      <c r="AJ6" s="66">
        <v>190</v>
      </c>
      <c r="AK6" s="66">
        <v>3610</v>
      </c>
      <c r="AL6" s="66">
        <v>1230</v>
      </c>
      <c r="AM6" s="66">
        <v>2210</v>
      </c>
      <c r="AN6" s="66">
        <v>5990</v>
      </c>
      <c r="AO6" s="66">
        <v>320</v>
      </c>
      <c r="AP6" s="66">
        <v>1050</v>
      </c>
      <c r="AQ6" s="66">
        <v>180</v>
      </c>
      <c r="AR6" s="66">
        <v>1670</v>
      </c>
      <c r="AS6" s="66">
        <v>20550</v>
      </c>
      <c r="AT6" s="66">
        <v>1700</v>
      </c>
      <c r="AU6" s="66">
        <v>220</v>
      </c>
      <c r="AV6" s="66">
        <v>7640</v>
      </c>
      <c r="AW6" s="66">
        <v>7460</v>
      </c>
      <c r="AX6" s="66">
        <v>150</v>
      </c>
      <c r="AY6" s="66">
        <v>2610</v>
      </c>
      <c r="AZ6" s="66">
        <v>70</v>
      </c>
      <c r="BA6" s="72">
        <f t="shared" si="0"/>
        <v>224280</v>
      </c>
      <c r="BB6" s="4">
        <f t="shared" si="1"/>
        <v>78750</v>
      </c>
      <c r="BC6" s="4">
        <f t="shared" si="2"/>
        <v>10660</v>
      </c>
      <c r="BD6" s="4">
        <f t="shared" si="3"/>
        <v>9440</v>
      </c>
      <c r="BE6" s="4">
        <f t="shared" si="4"/>
        <v>23560</v>
      </c>
      <c r="BF6" s="4">
        <f t="shared" si="5"/>
        <v>20840</v>
      </c>
      <c r="BG6" s="4">
        <f t="shared" si="6"/>
        <v>4020</v>
      </c>
      <c r="BH6" s="4">
        <f t="shared" si="7"/>
        <v>8230</v>
      </c>
      <c r="BI6" s="4">
        <f t="shared" si="8"/>
        <v>36760</v>
      </c>
      <c r="BJ6" s="73">
        <f t="shared" si="9"/>
        <v>32020</v>
      </c>
    </row>
    <row r="7" spans="1:62" ht="15.75">
      <c r="A7" s="1">
        <v>2025</v>
      </c>
      <c r="B7" s="62">
        <v>930</v>
      </c>
      <c r="C7" s="63">
        <v>870</v>
      </c>
      <c r="D7" s="64">
        <v>3110</v>
      </c>
      <c r="E7" s="65">
        <v>970</v>
      </c>
      <c r="F7" s="66">
        <v>59470</v>
      </c>
      <c r="G7" s="66">
        <v>2350</v>
      </c>
      <c r="H7" s="66">
        <v>2120</v>
      </c>
      <c r="I7" s="66">
        <v>440</v>
      </c>
      <c r="J7" s="66">
        <v>140</v>
      </c>
      <c r="K7" s="66">
        <v>7160</v>
      </c>
      <c r="L7" s="66">
        <v>6450</v>
      </c>
      <c r="M7" s="66">
        <v>6600</v>
      </c>
      <c r="N7" s="66">
        <v>370</v>
      </c>
      <c r="O7" s="66">
        <v>8210</v>
      </c>
      <c r="P7" s="66">
        <v>2300</v>
      </c>
      <c r="Q7" s="66">
        <v>1150</v>
      </c>
      <c r="R7" s="66">
        <v>1190</v>
      </c>
      <c r="S7" s="66">
        <v>1150</v>
      </c>
      <c r="T7" s="66">
        <v>910</v>
      </c>
      <c r="U7" s="66">
        <v>230</v>
      </c>
      <c r="V7" s="66">
        <v>5080</v>
      </c>
      <c r="W7" s="66">
        <v>5250</v>
      </c>
      <c r="X7" s="66">
        <v>4250</v>
      </c>
      <c r="Y7" s="66">
        <v>4810</v>
      </c>
      <c r="Z7" s="66">
        <v>400</v>
      </c>
      <c r="AA7" s="66">
        <v>1600</v>
      </c>
      <c r="AB7" s="66">
        <v>80</v>
      </c>
      <c r="AC7" s="66">
        <v>730</v>
      </c>
      <c r="AD7" s="66">
        <v>2940</v>
      </c>
      <c r="AE7" s="66">
        <v>470</v>
      </c>
      <c r="AF7" s="66">
        <v>11140</v>
      </c>
      <c r="AG7" s="66">
        <v>320</v>
      </c>
      <c r="AH7" s="66">
        <v>20600</v>
      </c>
      <c r="AI7" s="66">
        <v>4800</v>
      </c>
      <c r="AJ7" s="66">
        <v>170</v>
      </c>
      <c r="AK7" s="66">
        <v>3770</v>
      </c>
      <c r="AL7" s="66">
        <v>1280</v>
      </c>
      <c r="AM7" s="66">
        <v>2160</v>
      </c>
      <c r="AN7" s="66">
        <v>6280</v>
      </c>
      <c r="AO7" s="66">
        <v>310</v>
      </c>
      <c r="AP7" s="66">
        <v>1130</v>
      </c>
      <c r="AQ7" s="66">
        <v>180</v>
      </c>
      <c r="AR7" s="66">
        <v>1650</v>
      </c>
      <c r="AS7" s="66">
        <v>21660</v>
      </c>
      <c r="AT7" s="66">
        <v>1730</v>
      </c>
      <c r="AU7" s="66">
        <v>270</v>
      </c>
      <c r="AV7" s="66">
        <v>7730</v>
      </c>
      <c r="AW7" s="66">
        <v>7950</v>
      </c>
      <c r="AX7" s="66">
        <v>160</v>
      </c>
      <c r="AY7" s="66">
        <v>2630</v>
      </c>
      <c r="AZ7" s="66">
        <v>60</v>
      </c>
      <c r="BA7" s="72">
        <f t="shared" si="0"/>
        <v>227710</v>
      </c>
      <c r="BB7" s="4">
        <f t="shared" si="1"/>
        <v>77050</v>
      </c>
      <c r="BC7" s="4">
        <f t="shared" si="2"/>
        <v>10960</v>
      </c>
      <c r="BD7" s="4">
        <f t="shared" si="3"/>
        <v>9830</v>
      </c>
      <c r="BE7" s="4">
        <f t="shared" si="4"/>
        <v>24820</v>
      </c>
      <c r="BF7" s="4">
        <f t="shared" si="5"/>
        <v>21160</v>
      </c>
      <c r="BG7" s="4">
        <f t="shared" si="6"/>
        <v>4130</v>
      </c>
      <c r="BH7" s="4">
        <f t="shared" si="7"/>
        <v>8650</v>
      </c>
      <c r="BI7" s="4">
        <f t="shared" si="8"/>
        <v>38020</v>
      </c>
      <c r="BJ7" s="73">
        <f t="shared" si="9"/>
        <v>33090</v>
      </c>
    </row>
    <row r="8" spans="1:62" ht="15.75">
      <c r="A8" s="1">
        <v>2026</v>
      </c>
      <c r="B8" s="62">
        <v>910</v>
      </c>
      <c r="C8" s="63">
        <v>820</v>
      </c>
      <c r="D8" s="64">
        <v>3140</v>
      </c>
      <c r="E8" s="65">
        <v>990</v>
      </c>
      <c r="F8" s="66">
        <v>60170</v>
      </c>
      <c r="G8" s="66">
        <v>2450</v>
      </c>
      <c r="H8" s="66">
        <v>2020</v>
      </c>
      <c r="I8" s="66">
        <v>450</v>
      </c>
      <c r="J8" s="66">
        <v>160</v>
      </c>
      <c r="K8" s="66">
        <v>7330</v>
      </c>
      <c r="L8" s="66">
        <v>6570</v>
      </c>
      <c r="M8" s="66">
        <v>6390</v>
      </c>
      <c r="N8" s="66">
        <v>340</v>
      </c>
      <c r="O8" s="66">
        <v>8370</v>
      </c>
      <c r="P8" s="66">
        <v>2640</v>
      </c>
      <c r="Q8" s="66">
        <v>1180</v>
      </c>
      <c r="R8" s="66">
        <v>1140</v>
      </c>
      <c r="S8" s="66">
        <v>1160</v>
      </c>
      <c r="T8" s="66">
        <v>970</v>
      </c>
      <c r="U8" s="66">
        <v>210</v>
      </c>
      <c r="V8" s="66">
        <v>5300</v>
      </c>
      <c r="W8" s="66">
        <v>5390</v>
      </c>
      <c r="X8" s="66">
        <v>4150</v>
      </c>
      <c r="Y8" s="66">
        <v>4790</v>
      </c>
      <c r="Z8" s="66">
        <v>370</v>
      </c>
      <c r="AA8" s="66">
        <v>1630</v>
      </c>
      <c r="AB8" s="66">
        <v>80</v>
      </c>
      <c r="AC8" s="66">
        <v>850</v>
      </c>
      <c r="AD8" s="66">
        <v>2980</v>
      </c>
      <c r="AE8" s="66">
        <v>460</v>
      </c>
      <c r="AF8" s="66">
        <v>11410</v>
      </c>
      <c r="AG8" s="66">
        <v>290</v>
      </c>
      <c r="AH8" s="66">
        <v>20250</v>
      </c>
      <c r="AI8" s="66">
        <v>4820</v>
      </c>
      <c r="AJ8" s="66">
        <v>210</v>
      </c>
      <c r="AK8" s="66">
        <v>3850</v>
      </c>
      <c r="AL8" s="66">
        <v>1290</v>
      </c>
      <c r="AM8" s="66">
        <v>2200</v>
      </c>
      <c r="AN8" s="66">
        <v>6260</v>
      </c>
      <c r="AO8" s="66">
        <v>350</v>
      </c>
      <c r="AP8" s="66">
        <v>1130</v>
      </c>
      <c r="AQ8" s="66">
        <v>170</v>
      </c>
      <c r="AR8" s="66">
        <v>1690</v>
      </c>
      <c r="AS8" s="66">
        <v>23210</v>
      </c>
      <c r="AT8" s="66">
        <v>1760</v>
      </c>
      <c r="AU8" s="66">
        <v>250</v>
      </c>
      <c r="AV8" s="66">
        <v>8180</v>
      </c>
      <c r="AW8" s="66">
        <v>8350</v>
      </c>
      <c r="AX8" s="66">
        <v>160</v>
      </c>
      <c r="AY8" s="66">
        <v>2650</v>
      </c>
      <c r="AZ8" s="66">
        <v>50</v>
      </c>
      <c r="BA8" s="72">
        <f t="shared" si="0"/>
        <v>231940</v>
      </c>
      <c r="BB8" s="4">
        <f t="shared" si="1"/>
        <v>77930</v>
      </c>
      <c r="BC8" s="4">
        <f t="shared" si="2"/>
        <v>11090</v>
      </c>
      <c r="BD8" s="4">
        <f t="shared" si="3"/>
        <v>9970</v>
      </c>
      <c r="BE8" s="4">
        <f t="shared" si="4"/>
        <v>26460</v>
      </c>
      <c r="BF8" s="4">
        <f t="shared" si="5"/>
        <v>21660</v>
      </c>
      <c r="BG8" s="4">
        <f t="shared" si="6"/>
        <v>4130</v>
      </c>
      <c r="BH8" s="4">
        <f t="shared" si="7"/>
        <v>8680</v>
      </c>
      <c r="BI8" s="4">
        <f t="shared" si="8"/>
        <v>37920</v>
      </c>
      <c r="BJ8" s="73">
        <f t="shared" si="9"/>
        <v>34100</v>
      </c>
    </row>
    <row r="9" spans="1:62" ht="15.75">
      <c r="A9" s="1">
        <v>2027</v>
      </c>
      <c r="B9" s="62">
        <v>900</v>
      </c>
      <c r="C9" s="63">
        <v>820</v>
      </c>
      <c r="D9" s="64">
        <v>3180</v>
      </c>
      <c r="E9" s="65">
        <v>1100</v>
      </c>
      <c r="F9" s="66">
        <v>57960</v>
      </c>
      <c r="G9" s="66">
        <v>2330</v>
      </c>
      <c r="H9" s="66">
        <v>2030</v>
      </c>
      <c r="I9" s="66">
        <v>490</v>
      </c>
      <c r="J9" s="66">
        <v>170</v>
      </c>
      <c r="K9" s="66">
        <v>7120</v>
      </c>
      <c r="L9" s="66">
        <v>6650</v>
      </c>
      <c r="M9" s="66">
        <v>4740</v>
      </c>
      <c r="N9" s="66">
        <v>370</v>
      </c>
      <c r="O9" s="66">
        <v>8340</v>
      </c>
      <c r="P9" s="66">
        <v>2780</v>
      </c>
      <c r="Q9" s="66">
        <v>1240</v>
      </c>
      <c r="R9" s="66">
        <v>1130</v>
      </c>
      <c r="S9" s="66">
        <v>1140</v>
      </c>
      <c r="T9" s="66">
        <v>870</v>
      </c>
      <c r="U9" s="66">
        <v>200</v>
      </c>
      <c r="V9" s="66">
        <v>5150</v>
      </c>
      <c r="W9" s="66">
        <v>5320</v>
      </c>
      <c r="X9" s="66">
        <v>4210</v>
      </c>
      <c r="Y9" s="66">
        <v>5070</v>
      </c>
      <c r="Z9" s="66">
        <v>370</v>
      </c>
      <c r="AA9" s="66">
        <v>1700</v>
      </c>
      <c r="AB9" s="66">
        <v>90</v>
      </c>
      <c r="AC9" s="66">
        <v>850</v>
      </c>
      <c r="AD9" s="66">
        <v>2860</v>
      </c>
      <c r="AE9" s="66">
        <v>420</v>
      </c>
      <c r="AF9" s="66">
        <v>11340</v>
      </c>
      <c r="AG9" s="66">
        <v>270</v>
      </c>
      <c r="AH9" s="66">
        <v>19810</v>
      </c>
      <c r="AI9" s="66">
        <v>5150</v>
      </c>
      <c r="AJ9" s="66">
        <v>180</v>
      </c>
      <c r="AK9" s="66">
        <v>3920</v>
      </c>
      <c r="AL9" s="66">
        <v>1290</v>
      </c>
      <c r="AM9" s="66">
        <v>2200</v>
      </c>
      <c r="AN9" s="66">
        <v>6530</v>
      </c>
      <c r="AO9" s="66">
        <v>360</v>
      </c>
      <c r="AP9" s="66">
        <v>1170</v>
      </c>
      <c r="AQ9" s="66">
        <v>170</v>
      </c>
      <c r="AR9" s="66">
        <v>1620</v>
      </c>
      <c r="AS9" s="66">
        <v>23320</v>
      </c>
      <c r="AT9" s="66">
        <v>1780</v>
      </c>
      <c r="AU9" s="66">
        <v>290</v>
      </c>
      <c r="AV9" s="66">
        <v>8010</v>
      </c>
      <c r="AW9" s="66">
        <v>8180</v>
      </c>
      <c r="AX9" s="66">
        <v>150</v>
      </c>
      <c r="AY9" s="66">
        <v>2840</v>
      </c>
      <c r="AZ9" s="66">
        <v>50</v>
      </c>
      <c r="BA9" s="72">
        <f t="shared" si="0"/>
        <v>228230</v>
      </c>
      <c r="BB9" s="4">
        <f t="shared" si="1"/>
        <v>73900</v>
      </c>
      <c r="BC9" s="4">
        <f t="shared" si="2"/>
        <v>10930</v>
      </c>
      <c r="BD9" s="4">
        <f t="shared" si="3"/>
        <v>10340</v>
      </c>
      <c r="BE9" s="4">
        <f t="shared" si="4"/>
        <v>26580</v>
      </c>
      <c r="BF9" s="4">
        <f t="shared" si="5"/>
        <v>22090</v>
      </c>
      <c r="BG9" s="4">
        <f t="shared" si="6"/>
        <v>4030</v>
      </c>
      <c r="BH9" s="4">
        <f t="shared" si="7"/>
        <v>8620</v>
      </c>
      <c r="BI9" s="4">
        <f t="shared" si="8"/>
        <v>37680</v>
      </c>
      <c r="BJ9" s="73">
        <f t="shared" si="9"/>
        <v>34060</v>
      </c>
    </row>
    <row r="10" spans="1:62" ht="15.75">
      <c r="A10" s="1">
        <v>2028</v>
      </c>
      <c r="B10" s="67">
        <v>910</v>
      </c>
      <c r="C10" s="68">
        <v>830</v>
      </c>
      <c r="D10" s="69">
        <v>3160</v>
      </c>
      <c r="E10" s="70">
        <v>1060</v>
      </c>
      <c r="F10" s="71">
        <v>60380</v>
      </c>
      <c r="G10" s="71">
        <v>2320</v>
      </c>
      <c r="H10" s="71">
        <v>1980</v>
      </c>
      <c r="I10" s="71">
        <v>480</v>
      </c>
      <c r="J10" s="71">
        <v>150</v>
      </c>
      <c r="K10" s="71">
        <v>7260</v>
      </c>
      <c r="L10" s="71">
        <v>6910</v>
      </c>
      <c r="M10" s="71">
        <v>6070</v>
      </c>
      <c r="N10" s="71">
        <v>350</v>
      </c>
      <c r="O10" s="71">
        <v>8380</v>
      </c>
      <c r="P10" s="71">
        <v>2980</v>
      </c>
      <c r="Q10" s="71">
        <v>1280</v>
      </c>
      <c r="R10" s="71">
        <v>1120</v>
      </c>
      <c r="S10" s="71">
        <v>1240</v>
      </c>
      <c r="T10" s="71">
        <v>940</v>
      </c>
      <c r="U10" s="71">
        <v>180</v>
      </c>
      <c r="V10" s="71">
        <v>5130</v>
      </c>
      <c r="W10" s="71">
        <v>5290</v>
      </c>
      <c r="X10" s="71">
        <v>4300</v>
      </c>
      <c r="Y10" s="71">
        <v>4980</v>
      </c>
      <c r="Z10" s="71">
        <v>400</v>
      </c>
      <c r="AA10" s="71">
        <v>1650</v>
      </c>
      <c r="AB10" s="71">
        <v>70</v>
      </c>
      <c r="AC10" s="71">
        <v>870</v>
      </c>
      <c r="AD10" s="71">
        <v>2880</v>
      </c>
      <c r="AE10" s="71">
        <v>430</v>
      </c>
      <c r="AF10" s="71">
        <v>11370</v>
      </c>
      <c r="AG10" s="71">
        <v>290</v>
      </c>
      <c r="AH10" s="71">
        <v>19500</v>
      </c>
      <c r="AI10" s="71">
        <v>5380</v>
      </c>
      <c r="AJ10" s="71">
        <v>210</v>
      </c>
      <c r="AK10" s="71">
        <v>4140</v>
      </c>
      <c r="AL10" s="71">
        <v>1340</v>
      </c>
      <c r="AM10" s="71">
        <v>2190</v>
      </c>
      <c r="AN10" s="71">
        <v>6650</v>
      </c>
      <c r="AO10" s="71">
        <v>340</v>
      </c>
      <c r="AP10" s="71">
        <v>1220</v>
      </c>
      <c r="AQ10" s="71">
        <v>170</v>
      </c>
      <c r="AR10" s="71">
        <v>1620</v>
      </c>
      <c r="AS10" s="71">
        <v>24180</v>
      </c>
      <c r="AT10" s="71">
        <v>1800</v>
      </c>
      <c r="AU10" s="71">
        <v>360</v>
      </c>
      <c r="AV10" s="71">
        <v>8210</v>
      </c>
      <c r="AW10" s="71">
        <v>8420</v>
      </c>
      <c r="AX10" s="71">
        <v>140</v>
      </c>
      <c r="AY10" s="71">
        <v>2630</v>
      </c>
      <c r="AZ10" s="71">
        <v>50</v>
      </c>
      <c r="BA10" s="72">
        <f t="shared" si="0"/>
        <v>234190</v>
      </c>
      <c r="BB10" s="4">
        <f t="shared" si="1"/>
        <v>77890</v>
      </c>
      <c r="BC10" s="4">
        <f t="shared" si="2"/>
        <v>10920</v>
      </c>
      <c r="BD10" s="4">
        <f t="shared" si="3"/>
        <v>10280</v>
      </c>
      <c r="BE10" s="4">
        <f t="shared" si="4"/>
        <v>27520</v>
      </c>
      <c r="BF10" s="4">
        <f t="shared" si="5"/>
        <v>22430</v>
      </c>
      <c r="BG10" s="4">
        <f t="shared" si="6"/>
        <v>4170</v>
      </c>
      <c r="BH10" s="4">
        <f t="shared" si="7"/>
        <v>8580</v>
      </c>
      <c r="BI10" s="4">
        <f t="shared" si="8"/>
        <v>37520</v>
      </c>
      <c r="BJ10" s="73">
        <f t="shared" si="9"/>
        <v>34880</v>
      </c>
    </row>
  </sheetData>
  <sheetProtection algorithmName="SHA-512" hashValue="d5lPa1mpsP5bZTi/BSMRon0cNv6QlNINjxlwnKv/F92MM1BmZt9le/t0eQorxNbb/aOTEdGNuMBbl4ITlJYXGA==" saltValue="QQ2RYYk6eCvdsHbPNeiPuA==" spinCount="100000" sheet="1" objects="1" scenarios="1" selectLockedCells="1" selectUnlockedCell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FD39E-5327-4AA6-90CD-2D5C5032E839}">
  <sheetPr codeName="Sheet21"/>
  <dimension ref="A1:BJ14"/>
  <sheetViews>
    <sheetView topLeftCell="AC1" workbookViewId="0">
      <selection activeCell="BI1" sqref="BI1"/>
    </sheetView>
  </sheetViews>
  <sheetFormatPr defaultRowHeight="15"/>
  <sheetData>
    <row r="1" spans="1:62">
      <c r="A1" s="1" t="s">
        <v>113</v>
      </c>
      <c r="B1" t="s">
        <v>1</v>
      </c>
      <c r="C1" t="s">
        <v>107</v>
      </c>
      <c r="D1" t="s">
        <v>98</v>
      </c>
      <c r="E1" t="s">
        <v>93</v>
      </c>
      <c r="F1" t="s">
        <v>109</v>
      </c>
      <c r="G1" t="s">
        <v>100</v>
      </c>
      <c r="H1" t="s">
        <v>54</v>
      </c>
      <c r="I1" t="s">
        <v>79</v>
      </c>
      <c r="J1" t="s">
        <v>87</v>
      </c>
      <c r="K1" t="s">
        <v>81</v>
      </c>
      <c r="L1" t="s">
        <v>82</v>
      </c>
      <c r="M1" t="s">
        <v>110</v>
      </c>
      <c r="N1" t="s">
        <v>101</v>
      </c>
      <c r="O1" t="s">
        <v>65</v>
      </c>
      <c r="P1" t="s">
        <v>67</v>
      </c>
      <c r="Q1" t="s">
        <v>71</v>
      </c>
      <c r="R1" t="s">
        <v>73</v>
      </c>
      <c r="S1" t="s">
        <v>90</v>
      </c>
      <c r="T1" t="s">
        <v>95</v>
      </c>
      <c r="U1" t="s">
        <v>56</v>
      </c>
      <c r="V1" t="s">
        <v>83</v>
      </c>
      <c r="W1" t="s">
        <v>57</v>
      </c>
      <c r="X1" t="s">
        <v>68</v>
      </c>
      <c r="Y1" t="s">
        <v>74</v>
      </c>
      <c r="Z1" t="s">
        <v>91</v>
      </c>
      <c r="AA1" t="s">
        <v>75</v>
      </c>
      <c r="AB1" t="s">
        <v>102</v>
      </c>
      <c r="AC1" t="s">
        <v>76</v>
      </c>
      <c r="AD1" t="s">
        <v>103</v>
      </c>
      <c r="AE1" t="s">
        <v>58</v>
      </c>
      <c r="AF1" t="s">
        <v>61</v>
      </c>
      <c r="AG1" t="s">
        <v>104</v>
      </c>
      <c r="AH1" t="s">
        <v>63</v>
      </c>
      <c r="AI1" t="s">
        <v>84</v>
      </c>
      <c r="AJ1" t="s">
        <v>77</v>
      </c>
      <c r="AK1" t="s">
        <v>69</v>
      </c>
      <c r="AL1" t="s">
        <v>96</v>
      </c>
      <c r="AM1" t="s">
        <v>111</v>
      </c>
      <c r="AN1" t="s">
        <v>64</v>
      </c>
      <c r="AO1" t="s">
        <v>59</v>
      </c>
      <c r="AP1" t="s">
        <v>85</v>
      </c>
      <c r="AQ1" t="s">
        <v>78</v>
      </c>
      <c r="AR1" t="s">
        <v>92</v>
      </c>
      <c r="AS1" t="s">
        <v>97</v>
      </c>
      <c r="AT1" t="s">
        <v>105</v>
      </c>
      <c r="AU1" t="s">
        <v>60</v>
      </c>
      <c r="AV1" t="s">
        <v>86</v>
      </c>
      <c r="AW1" t="s">
        <v>112</v>
      </c>
      <c r="AX1" t="s">
        <v>88</v>
      </c>
      <c r="AY1" t="s">
        <v>70</v>
      </c>
      <c r="AZ1" t="s">
        <v>106</v>
      </c>
      <c r="BA1" s="1" t="s">
        <v>40</v>
      </c>
      <c r="BB1" s="1" t="s">
        <v>108</v>
      </c>
      <c r="BC1" s="1" t="s">
        <v>99</v>
      </c>
      <c r="BD1" s="1" t="s">
        <v>72</v>
      </c>
      <c r="BE1" s="1" t="s">
        <v>94</v>
      </c>
      <c r="BF1" s="1" t="s">
        <v>66</v>
      </c>
      <c r="BG1" s="1" t="s">
        <v>89</v>
      </c>
      <c r="BH1" s="1" t="s">
        <v>55</v>
      </c>
      <c r="BI1" s="1" t="s">
        <v>62</v>
      </c>
      <c r="BJ1" s="1" t="s">
        <v>80</v>
      </c>
    </row>
    <row r="2" spans="1:62" ht="15.75">
      <c r="A2" s="1">
        <v>2020</v>
      </c>
      <c r="B2" s="57">
        <v>970</v>
      </c>
      <c r="C2" s="58">
        <v>850</v>
      </c>
      <c r="D2" s="59">
        <v>2220</v>
      </c>
      <c r="E2" s="60">
        <v>610</v>
      </c>
      <c r="F2" s="61">
        <v>17040</v>
      </c>
      <c r="G2" s="61">
        <v>2240</v>
      </c>
      <c r="H2" s="61">
        <v>940</v>
      </c>
      <c r="I2" s="61">
        <v>220</v>
      </c>
      <c r="J2" s="61">
        <v>50</v>
      </c>
      <c r="K2" s="61">
        <v>5630</v>
      </c>
      <c r="L2" s="61">
        <v>3580</v>
      </c>
      <c r="M2" s="61">
        <v>140</v>
      </c>
      <c r="N2" s="61">
        <v>490</v>
      </c>
      <c r="O2" s="61">
        <v>4230</v>
      </c>
      <c r="P2" s="61">
        <v>2950</v>
      </c>
      <c r="Q2" s="61">
        <v>1070</v>
      </c>
      <c r="R2" s="61">
        <v>1660</v>
      </c>
      <c r="S2" s="61">
        <v>1280</v>
      </c>
      <c r="T2" s="61">
        <v>790</v>
      </c>
      <c r="U2" s="61">
        <v>250</v>
      </c>
      <c r="V2" s="61">
        <v>2450</v>
      </c>
      <c r="W2" s="61">
        <v>1760</v>
      </c>
      <c r="X2" s="61">
        <v>3100</v>
      </c>
      <c r="Y2" s="61">
        <v>1750</v>
      </c>
      <c r="Z2" s="61">
        <v>380</v>
      </c>
      <c r="AA2" s="61">
        <v>1740</v>
      </c>
      <c r="AB2" s="61">
        <v>300</v>
      </c>
      <c r="AC2" s="61">
        <v>680</v>
      </c>
      <c r="AD2" s="61">
        <v>1670</v>
      </c>
      <c r="AE2" s="61">
        <v>240</v>
      </c>
      <c r="AF2" s="61">
        <v>1240</v>
      </c>
      <c r="AG2" s="61">
        <v>380</v>
      </c>
      <c r="AH2" s="61">
        <v>3140</v>
      </c>
      <c r="AI2" s="61">
        <v>4240</v>
      </c>
      <c r="AJ2" s="61">
        <v>0</v>
      </c>
      <c r="AK2" s="61">
        <v>5110</v>
      </c>
      <c r="AL2" s="61">
        <v>3580</v>
      </c>
      <c r="AM2" s="61">
        <v>2190</v>
      </c>
      <c r="AN2" s="61">
        <v>3100</v>
      </c>
      <c r="AO2" s="61">
        <v>300</v>
      </c>
      <c r="AP2" s="61">
        <v>1610</v>
      </c>
      <c r="AQ2" s="61">
        <v>230</v>
      </c>
      <c r="AR2" s="61">
        <v>1260</v>
      </c>
      <c r="AS2" s="61">
        <v>7280</v>
      </c>
      <c r="AT2" s="61">
        <v>1080</v>
      </c>
      <c r="AU2" s="61">
        <v>110</v>
      </c>
      <c r="AV2" s="61">
        <v>4360</v>
      </c>
      <c r="AW2" s="61">
        <v>4840</v>
      </c>
      <c r="AX2" s="61">
        <v>400</v>
      </c>
      <c r="AY2" s="61">
        <v>1880</v>
      </c>
      <c r="AZ2" s="61">
        <v>120</v>
      </c>
      <c r="BA2" s="72">
        <f>SUM(B2:AZ2)</f>
        <v>107730</v>
      </c>
      <c r="BB2" s="4">
        <f>C2+F2+M2+AM2+AW2</f>
        <v>25060</v>
      </c>
      <c r="BC2" s="4">
        <f>D2+G2+N2+AB2+AD2+AG2+AT2+AZ2</f>
        <v>8500</v>
      </c>
      <c r="BD2" s="4">
        <f>Q2+R2+Y2+AA2+AC2+AJ2+AQ2</f>
        <v>7130</v>
      </c>
      <c r="BE2" s="4">
        <f>E2+T2+AL2+AS2</f>
        <v>12260</v>
      </c>
      <c r="BF2" s="4">
        <f>O2+P2+X2+AK2+AY2</f>
        <v>17270</v>
      </c>
      <c r="BG2" s="4">
        <f>B2+S2+Z2+AR2</f>
        <v>3890</v>
      </c>
      <c r="BH2" s="4">
        <f>H2+U2+W2+AE2+AO2+AU2</f>
        <v>3600</v>
      </c>
      <c r="BI2" s="4">
        <f>AF2+AH2+AN2</f>
        <v>7480</v>
      </c>
      <c r="BJ2" s="73">
        <f>I2+K2+J2+L2+V2+AI2+AP2+AV2+AX2</f>
        <v>22540</v>
      </c>
    </row>
    <row r="3" spans="1:62" ht="15.75">
      <c r="A3" s="1">
        <v>2021</v>
      </c>
      <c r="B3" s="62">
        <v>1060</v>
      </c>
      <c r="C3" s="63">
        <v>800</v>
      </c>
      <c r="D3" s="64">
        <v>2440</v>
      </c>
      <c r="E3" s="65">
        <v>750</v>
      </c>
      <c r="F3" s="66">
        <v>18590</v>
      </c>
      <c r="G3" s="66">
        <v>2380</v>
      </c>
      <c r="H3" s="66">
        <v>1120</v>
      </c>
      <c r="I3" s="66">
        <v>250</v>
      </c>
      <c r="J3" s="66">
        <v>40</v>
      </c>
      <c r="K3" s="66">
        <v>5980</v>
      </c>
      <c r="L3" s="66">
        <v>3680</v>
      </c>
      <c r="M3" s="66">
        <v>150</v>
      </c>
      <c r="N3" s="66">
        <v>580</v>
      </c>
      <c r="O3" s="66">
        <v>4150</v>
      </c>
      <c r="P3" s="66">
        <v>2870</v>
      </c>
      <c r="Q3" s="66">
        <v>1110</v>
      </c>
      <c r="R3" s="66">
        <v>1620</v>
      </c>
      <c r="S3" s="66">
        <v>1360</v>
      </c>
      <c r="T3" s="66">
        <v>910</v>
      </c>
      <c r="U3" s="66">
        <v>250</v>
      </c>
      <c r="V3" s="66">
        <v>2640</v>
      </c>
      <c r="W3" s="66">
        <v>1920</v>
      </c>
      <c r="X3" s="66">
        <v>3260</v>
      </c>
      <c r="Y3" s="66">
        <v>2160</v>
      </c>
      <c r="Z3" s="66">
        <v>500</v>
      </c>
      <c r="AA3" s="66">
        <v>1930</v>
      </c>
      <c r="AB3" s="66">
        <v>300</v>
      </c>
      <c r="AC3" s="66">
        <v>720</v>
      </c>
      <c r="AD3" s="66">
        <v>1800</v>
      </c>
      <c r="AE3" s="66">
        <v>240</v>
      </c>
      <c r="AF3" s="66">
        <v>1550</v>
      </c>
      <c r="AG3" s="66">
        <v>430</v>
      </c>
      <c r="AH3" s="66">
        <v>3500</v>
      </c>
      <c r="AI3" s="66">
        <v>4490</v>
      </c>
      <c r="AJ3" s="66">
        <v>0</v>
      </c>
      <c r="AK3" s="66">
        <v>5180</v>
      </c>
      <c r="AL3" s="66">
        <v>3790</v>
      </c>
      <c r="AM3" s="66">
        <v>2460</v>
      </c>
      <c r="AN3" s="66">
        <v>3560</v>
      </c>
      <c r="AO3" s="66">
        <v>330</v>
      </c>
      <c r="AP3" s="66">
        <v>1690</v>
      </c>
      <c r="AQ3" s="66">
        <v>290</v>
      </c>
      <c r="AR3" s="66">
        <v>1590</v>
      </c>
      <c r="AS3" s="66">
        <v>7950</v>
      </c>
      <c r="AT3" s="66">
        <v>1150</v>
      </c>
      <c r="AU3" s="66">
        <v>110</v>
      </c>
      <c r="AV3" s="66">
        <v>4570</v>
      </c>
      <c r="AW3" s="66">
        <v>5090</v>
      </c>
      <c r="AX3" s="66">
        <v>480</v>
      </c>
      <c r="AY3" s="66">
        <v>2050</v>
      </c>
      <c r="AZ3" s="66">
        <v>160</v>
      </c>
      <c r="BA3" s="72">
        <f t="shared" ref="BA3:BA10" si="0">SUM(B3:AZ3)</f>
        <v>115980</v>
      </c>
      <c r="BB3" s="4">
        <f t="shared" ref="BB3:BB10" si="1">C3+F3+M3+AM3+AW3</f>
        <v>27090</v>
      </c>
      <c r="BC3" s="4">
        <f t="shared" ref="BC3:BC10" si="2">D3+G3+N3+AB3+AD3+AG3+AT3+AZ3</f>
        <v>9240</v>
      </c>
      <c r="BD3" s="4">
        <f t="shared" ref="BD3:BD10" si="3">Q3+R3+Y3+AA3+AC3+AJ3+AQ3</f>
        <v>7830</v>
      </c>
      <c r="BE3" s="4">
        <f t="shared" ref="BE3:BE10" si="4">E3+T3+AL3+AS3</f>
        <v>13400</v>
      </c>
      <c r="BF3" s="4">
        <f t="shared" ref="BF3:BF10" si="5">O3+P3+X3+AK3+AY3</f>
        <v>17510</v>
      </c>
      <c r="BG3" s="4">
        <f t="shared" ref="BG3:BG10" si="6">B3+S3+Z3+AR3</f>
        <v>4510</v>
      </c>
      <c r="BH3" s="4">
        <f t="shared" ref="BH3:BH10" si="7">H3+U3+W3+AE3+AO3+AU3</f>
        <v>3970</v>
      </c>
      <c r="BI3" s="4">
        <f t="shared" ref="BI3:BI10" si="8">AF3+AH3+AN3</f>
        <v>8610</v>
      </c>
      <c r="BJ3" s="73">
        <f t="shared" ref="BJ3:BJ10" si="9">I3+K3+J3+L3+V3+AI3+AP3+AV3+AX3</f>
        <v>23820</v>
      </c>
    </row>
    <row r="4" spans="1:62" ht="15.75">
      <c r="A4" s="1">
        <v>2022</v>
      </c>
      <c r="B4" s="62">
        <v>1230</v>
      </c>
      <c r="C4" s="63">
        <v>870</v>
      </c>
      <c r="D4" s="64">
        <v>2720</v>
      </c>
      <c r="E4" s="65">
        <v>870</v>
      </c>
      <c r="F4" s="66">
        <v>19710</v>
      </c>
      <c r="G4" s="66">
        <v>2450</v>
      </c>
      <c r="H4" s="66">
        <v>1150</v>
      </c>
      <c r="I4" s="66">
        <v>310</v>
      </c>
      <c r="J4" s="66">
        <v>40</v>
      </c>
      <c r="K4" s="66">
        <v>6000</v>
      </c>
      <c r="L4" s="66">
        <v>3750</v>
      </c>
      <c r="M4" s="66">
        <v>150</v>
      </c>
      <c r="N4" s="66">
        <v>590</v>
      </c>
      <c r="O4" s="66">
        <v>5480</v>
      </c>
      <c r="P4" s="66">
        <v>2970</v>
      </c>
      <c r="Q4" s="66">
        <v>1260</v>
      </c>
      <c r="R4" s="66">
        <v>1700</v>
      </c>
      <c r="S4" s="66">
        <v>1450</v>
      </c>
      <c r="T4" s="66">
        <v>1050</v>
      </c>
      <c r="U4" s="66">
        <v>340</v>
      </c>
      <c r="V4" s="66">
        <v>2620</v>
      </c>
      <c r="W4" s="66">
        <v>2070</v>
      </c>
      <c r="X4" s="66">
        <v>3680</v>
      </c>
      <c r="Y4" s="66">
        <v>2760</v>
      </c>
      <c r="Z4" s="66">
        <v>760</v>
      </c>
      <c r="AA4" s="66">
        <v>2230</v>
      </c>
      <c r="AB4" s="66">
        <v>290</v>
      </c>
      <c r="AC4" s="66">
        <v>750</v>
      </c>
      <c r="AD4" s="66">
        <v>1830</v>
      </c>
      <c r="AE4" s="66">
        <v>290</v>
      </c>
      <c r="AF4" s="66">
        <v>1760</v>
      </c>
      <c r="AG4" s="66">
        <v>480</v>
      </c>
      <c r="AH4" s="66">
        <v>3800</v>
      </c>
      <c r="AI4" s="66">
        <v>4550</v>
      </c>
      <c r="AJ4" s="66">
        <v>0</v>
      </c>
      <c r="AK4" s="66">
        <v>5410</v>
      </c>
      <c r="AL4" s="66">
        <v>3980</v>
      </c>
      <c r="AM4" s="66">
        <v>2600</v>
      </c>
      <c r="AN4" s="66">
        <v>4360</v>
      </c>
      <c r="AO4" s="66">
        <v>370</v>
      </c>
      <c r="AP4" s="66">
        <v>1930</v>
      </c>
      <c r="AQ4" s="66">
        <v>430</v>
      </c>
      <c r="AR4" s="66">
        <v>1790</v>
      </c>
      <c r="AS4" s="66">
        <v>8600</v>
      </c>
      <c r="AT4" s="66">
        <v>1330</v>
      </c>
      <c r="AU4" s="66">
        <v>120</v>
      </c>
      <c r="AV4" s="66">
        <v>4850</v>
      </c>
      <c r="AW4" s="66">
        <v>5340</v>
      </c>
      <c r="AX4" s="66">
        <v>540</v>
      </c>
      <c r="AY4" s="66">
        <v>2330</v>
      </c>
      <c r="AZ4" s="66">
        <v>130</v>
      </c>
      <c r="BA4" s="72">
        <f t="shared" si="0"/>
        <v>126070</v>
      </c>
      <c r="BB4" s="4">
        <f t="shared" si="1"/>
        <v>28670</v>
      </c>
      <c r="BC4" s="4">
        <f t="shared" si="2"/>
        <v>9820</v>
      </c>
      <c r="BD4" s="4">
        <f t="shared" si="3"/>
        <v>9130</v>
      </c>
      <c r="BE4" s="4">
        <f t="shared" si="4"/>
        <v>14500</v>
      </c>
      <c r="BF4" s="4">
        <f t="shared" si="5"/>
        <v>19870</v>
      </c>
      <c r="BG4" s="4">
        <f t="shared" si="6"/>
        <v>5230</v>
      </c>
      <c r="BH4" s="4">
        <f t="shared" si="7"/>
        <v>4340</v>
      </c>
      <c r="BI4" s="4">
        <f t="shared" si="8"/>
        <v>9920</v>
      </c>
      <c r="BJ4" s="73">
        <f t="shared" si="9"/>
        <v>24590</v>
      </c>
    </row>
    <row r="5" spans="1:62" ht="15.75">
      <c r="A5" s="1">
        <v>2023</v>
      </c>
      <c r="B5" s="62">
        <v>1390</v>
      </c>
      <c r="C5" s="63">
        <v>910</v>
      </c>
      <c r="D5" s="64">
        <v>3180</v>
      </c>
      <c r="E5" s="65">
        <v>940</v>
      </c>
      <c r="F5" s="66">
        <v>21380</v>
      </c>
      <c r="G5" s="66">
        <v>2680</v>
      </c>
      <c r="H5" s="66">
        <v>1240</v>
      </c>
      <c r="I5" s="66">
        <v>400</v>
      </c>
      <c r="J5" s="66">
        <v>60</v>
      </c>
      <c r="K5" s="66">
        <v>6220</v>
      </c>
      <c r="L5" s="66">
        <v>3930</v>
      </c>
      <c r="M5" s="66">
        <v>140</v>
      </c>
      <c r="N5" s="66">
        <v>690</v>
      </c>
      <c r="O5" s="66">
        <v>4910</v>
      </c>
      <c r="P5" s="66">
        <v>3050</v>
      </c>
      <c r="Q5" s="66">
        <v>1420</v>
      </c>
      <c r="R5" s="66">
        <v>1790</v>
      </c>
      <c r="S5" s="66">
        <v>1730</v>
      </c>
      <c r="T5" s="66">
        <v>1230</v>
      </c>
      <c r="U5" s="66">
        <v>320</v>
      </c>
      <c r="V5" s="66">
        <v>2600</v>
      </c>
      <c r="W5" s="66">
        <v>2120</v>
      </c>
      <c r="X5" s="66">
        <v>3880</v>
      </c>
      <c r="Y5" s="66">
        <v>3060</v>
      </c>
      <c r="Z5" s="66">
        <v>990</v>
      </c>
      <c r="AA5" s="66">
        <v>2750</v>
      </c>
      <c r="AB5" s="66">
        <v>380</v>
      </c>
      <c r="AC5" s="66">
        <v>800</v>
      </c>
      <c r="AD5" s="66">
        <v>1990</v>
      </c>
      <c r="AE5" s="66">
        <v>330</v>
      </c>
      <c r="AF5" s="66">
        <v>2150</v>
      </c>
      <c r="AG5" s="66">
        <v>540</v>
      </c>
      <c r="AH5" s="66">
        <v>4850</v>
      </c>
      <c r="AI5" s="66">
        <v>4640</v>
      </c>
      <c r="AJ5" s="66">
        <v>0</v>
      </c>
      <c r="AK5" s="66">
        <v>5210</v>
      </c>
      <c r="AL5" s="66">
        <v>4050</v>
      </c>
      <c r="AM5" s="66">
        <v>2720</v>
      </c>
      <c r="AN5" s="66">
        <v>5020</v>
      </c>
      <c r="AO5" s="66">
        <v>400</v>
      </c>
      <c r="AP5" s="66">
        <v>2040</v>
      </c>
      <c r="AQ5" s="66">
        <v>450</v>
      </c>
      <c r="AR5" s="66">
        <v>2300</v>
      </c>
      <c r="AS5" s="66">
        <v>9130</v>
      </c>
      <c r="AT5" s="66">
        <v>1480</v>
      </c>
      <c r="AU5" s="66">
        <v>120</v>
      </c>
      <c r="AV5" s="66">
        <v>5030</v>
      </c>
      <c r="AW5" s="66">
        <v>5800</v>
      </c>
      <c r="AX5" s="66">
        <v>610</v>
      </c>
      <c r="AY5" s="66">
        <v>2670</v>
      </c>
      <c r="AZ5" s="66">
        <v>150</v>
      </c>
      <c r="BA5" s="72">
        <f t="shared" si="0"/>
        <v>135870</v>
      </c>
      <c r="BB5" s="4">
        <f t="shared" si="1"/>
        <v>30950</v>
      </c>
      <c r="BC5" s="4">
        <f t="shared" si="2"/>
        <v>11090</v>
      </c>
      <c r="BD5" s="4">
        <f t="shared" si="3"/>
        <v>10270</v>
      </c>
      <c r="BE5" s="4">
        <f t="shared" si="4"/>
        <v>15350</v>
      </c>
      <c r="BF5" s="4">
        <f t="shared" si="5"/>
        <v>19720</v>
      </c>
      <c r="BG5" s="4">
        <f t="shared" si="6"/>
        <v>6410</v>
      </c>
      <c r="BH5" s="4">
        <f t="shared" si="7"/>
        <v>4530</v>
      </c>
      <c r="BI5" s="4">
        <f t="shared" si="8"/>
        <v>12020</v>
      </c>
      <c r="BJ5" s="73">
        <f t="shared" si="9"/>
        <v>25530</v>
      </c>
    </row>
    <row r="6" spans="1:62" ht="15.75">
      <c r="A6" s="1">
        <v>2024</v>
      </c>
      <c r="B6" s="62">
        <v>1520</v>
      </c>
      <c r="C6" s="63">
        <v>1010</v>
      </c>
      <c r="D6" s="64">
        <v>3730</v>
      </c>
      <c r="E6" s="65">
        <v>1040</v>
      </c>
      <c r="F6" s="66">
        <v>22840</v>
      </c>
      <c r="G6" s="66">
        <v>2870</v>
      </c>
      <c r="H6" s="66">
        <v>1450</v>
      </c>
      <c r="I6" s="66">
        <v>450</v>
      </c>
      <c r="J6" s="66">
        <v>80</v>
      </c>
      <c r="K6" s="66">
        <v>6560</v>
      </c>
      <c r="L6" s="66">
        <v>4170</v>
      </c>
      <c r="M6" s="66">
        <v>260</v>
      </c>
      <c r="N6" s="66">
        <v>800</v>
      </c>
      <c r="O6" s="66">
        <v>5100</v>
      </c>
      <c r="P6" s="66">
        <v>3180</v>
      </c>
      <c r="Q6" s="66">
        <v>1480</v>
      </c>
      <c r="R6" s="66">
        <v>1830</v>
      </c>
      <c r="S6" s="66">
        <v>1940</v>
      </c>
      <c r="T6" s="66">
        <v>1480</v>
      </c>
      <c r="U6" s="66">
        <v>400</v>
      </c>
      <c r="V6" s="66">
        <v>2790</v>
      </c>
      <c r="W6" s="66">
        <v>2240</v>
      </c>
      <c r="X6" s="66">
        <v>4480</v>
      </c>
      <c r="Y6" s="66">
        <v>3380</v>
      </c>
      <c r="Z6" s="66">
        <v>1180</v>
      </c>
      <c r="AA6" s="66">
        <v>3020</v>
      </c>
      <c r="AB6" s="66">
        <v>450</v>
      </c>
      <c r="AC6" s="66">
        <v>830</v>
      </c>
      <c r="AD6" s="66">
        <v>2170</v>
      </c>
      <c r="AE6" s="66">
        <v>370</v>
      </c>
      <c r="AF6" s="66">
        <v>2430</v>
      </c>
      <c r="AG6" s="66">
        <v>620</v>
      </c>
      <c r="AH6" s="66">
        <v>5810</v>
      </c>
      <c r="AI6" s="66">
        <v>5140</v>
      </c>
      <c r="AJ6" s="66">
        <v>0</v>
      </c>
      <c r="AK6" s="66">
        <v>5550</v>
      </c>
      <c r="AL6" s="66">
        <v>4700</v>
      </c>
      <c r="AM6" s="66">
        <v>2860</v>
      </c>
      <c r="AN6" s="66">
        <v>5790</v>
      </c>
      <c r="AO6" s="66">
        <v>410</v>
      </c>
      <c r="AP6" s="66">
        <v>2280</v>
      </c>
      <c r="AQ6" s="66">
        <v>560</v>
      </c>
      <c r="AR6" s="66">
        <v>2790</v>
      </c>
      <c r="AS6" s="66">
        <v>9710</v>
      </c>
      <c r="AT6" s="66">
        <v>1640</v>
      </c>
      <c r="AU6" s="66">
        <v>100</v>
      </c>
      <c r="AV6" s="66">
        <v>5240</v>
      </c>
      <c r="AW6" s="66">
        <v>6520</v>
      </c>
      <c r="AX6" s="66">
        <v>720</v>
      </c>
      <c r="AY6" s="66">
        <v>3080</v>
      </c>
      <c r="AZ6" s="66">
        <v>170</v>
      </c>
      <c r="BA6" s="72">
        <f t="shared" si="0"/>
        <v>149220</v>
      </c>
      <c r="BB6" s="4">
        <f t="shared" si="1"/>
        <v>33490</v>
      </c>
      <c r="BC6" s="4">
        <f t="shared" si="2"/>
        <v>12450</v>
      </c>
      <c r="BD6" s="4">
        <f t="shared" si="3"/>
        <v>11100</v>
      </c>
      <c r="BE6" s="4">
        <f t="shared" si="4"/>
        <v>16930</v>
      </c>
      <c r="BF6" s="4">
        <f t="shared" si="5"/>
        <v>21390</v>
      </c>
      <c r="BG6" s="4">
        <f t="shared" si="6"/>
        <v>7430</v>
      </c>
      <c r="BH6" s="4">
        <f t="shared" si="7"/>
        <v>4970</v>
      </c>
      <c r="BI6" s="4">
        <f t="shared" si="8"/>
        <v>14030</v>
      </c>
      <c r="BJ6" s="73">
        <f t="shared" si="9"/>
        <v>27430</v>
      </c>
    </row>
    <row r="7" spans="1:62" ht="15.75">
      <c r="A7" s="1">
        <v>2025</v>
      </c>
      <c r="B7" s="62">
        <v>1810</v>
      </c>
      <c r="C7" s="63">
        <v>1020</v>
      </c>
      <c r="D7" s="64">
        <v>4160</v>
      </c>
      <c r="E7" s="65">
        <v>1150</v>
      </c>
      <c r="F7" s="66">
        <v>23360</v>
      </c>
      <c r="G7" s="66">
        <v>3190</v>
      </c>
      <c r="H7" s="66">
        <v>1680</v>
      </c>
      <c r="I7" s="66">
        <v>490</v>
      </c>
      <c r="J7" s="66">
        <v>90</v>
      </c>
      <c r="K7" s="66">
        <v>6950</v>
      </c>
      <c r="L7" s="66">
        <v>4540</v>
      </c>
      <c r="M7" s="66">
        <v>320</v>
      </c>
      <c r="N7" s="66">
        <v>790</v>
      </c>
      <c r="O7" s="66">
        <v>5440</v>
      </c>
      <c r="P7" s="66">
        <v>3340</v>
      </c>
      <c r="Q7" s="66">
        <v>1600</v>
      </c>
      <c r="R7" s="66">
        <v>1930</v>
      </c>
      <c r="S7" s="66">
        <v>2220</v>
      </c>
      <c r="T7" s="66">
        <v>1780</v>
      </c>
      <c r="U7" s="66">
        <v>500</v>
      </c>
      <c r="V7" s="66">
        <v>2900</v>
      </c>
      <c r="W7" s="66">
        <v>2440</v>
      </c>
      <c r="X7" s="66">
        <v>4670</v>
      </c>
      <c r="Y7" s="66">
        <v>3710</v>
      </c>
      <c r="Z7" s="66">
        <v>1600</v>
      </c>
      <c r="AA7" s="66">
        <v>3620</v>
      </c>
      <c r="AB7" s="66">
        <v>470</v>
      </c>
      <c r="AC7" s="66">
        <v>860</v>
      </c>
      <c r="AD7" s="66">
        <v>2460</v>
      </c>
      <c r="AE7" s="66">
        <v>390</v>
      </c>
      <c r="AF7" s="66">
        <v>2890</v>
      </c>
      <c r="AG7" s="66">
        <v>660</v>
      </c>
      <c r="AH7" s="66">
        <v>6630</v>
      </c>
      <c r="AI7" s="66">
        <v>5510</v>
      </c>
      <c r="AJ7" s="66">
        <v>0</v>
      </c>
      <c r="AK7" s="66">
        <v>5890</v>
      </c>
      <c r="AL7" s="66">
        <v>5460</v>
      </c>
      <c r="AM7" s="66">
        <v>3070</v>
      </c>
      <c r="AN7" s="66">
        <v>6420</v>
      </c>
      <c r="AO7" s="66">
        <v>500</v>
      </c>
      <c r="AP7" s="66">
        <v>2500</v>
      </c>
      <c r="AQ7" s="66">
        <v>670</v>
      </c>
      <c r="AR7" s="66">
        <v>3220</v>
      </c>
      <c r="AS7" s="66">
        <v>10730</v>
      </c>
      <c r="AT7" s="66">
        <v>1810</v>
      </c>
      <c r="AU7" s="66">
        <v>100</v>
      </c>
      <c r="AV7" s="66">
        <v>5630</v>
      </c>
      <c r="AW7" s="66">
        <v>7030</v>
      </c>
      <c r="AX7" s="66">
        <v>840</v>
      </c>
      <c r="AY7" s="66">
        <v>3540</v>
      </c>
      <c r="AZ7" s="66">
        <v>220</v>
      </c>
      <c r="BA7" s="72">
        <f t="shared" si="0"/>
        <v>162800</v>
      </c>
      <c r="BB7" s="4">
        <f t="shared" si="1"/>
        <v>34800</v>
      </c>
      <c r="BC7" s="4">
        <f t="shared" si="2"/>
        <v>13760</v>
      </c>
      <c r="BD7" s="4">
        <f t="shared" si="3"/>
        <v>12390</v>
      </c>
      <c r="BE7" s="4">
        <f t="shared" si="4"/>
        <v>19120</v>
      </c>
      <c r="BF7" s="4">
        <f t="shared" si="5"/>
        <v>22880</v>
      </c>
      <c r="BG7" s="4">
        <f t="shared" si="6"/>
        <v>8850</v>
      </c>
      <c r="BH7" s="4">
        <f t="shared" si="7"/>
        <v>5610</v>
      </c>
      <c r="BI7" s="4">
        <f t="shared" si="8"/>
        <v>15940</v>
      </c>
      <c r="BJ7" s="73">
        <f t="shared" si="9"/>
        <v>29450</v>
      </c>
    </row>
    <row r="8" spans="1:62" ht="15.75">
      <c r="A8" s="1">
        <v>2026</v>
      </c>
      <c r="B8" s="62">
        <v>1940</v>
      </c>
      <c r="C8" s="63">
        <v>1080</v>
      </c>
      <c r="D8" s="64">
        <v>4320</v>
      </c>
      <c r="E8" s="65">
        <v>1250</v>
      </c>
      <c r="F8" s="66">
        <v>24250</v>
      </c>
      <c r="G8" s="66">
        <v>3310</v>
      </c>
      <c r="H8" s="66">
        <v>1730</v>
      </c>
      <c r="I8" s="66">
        <v>550</v>
      </c>
      <c r="J8" s="66">
        <v>80</v>
      </c>
      <c r="K8" s="66">
        <v>7250</v>
      </c>
      <c r="L8" s="66">
        <v>4690</v>
      </c>
      <c r="M8" s="66">
        <v>350</v>
      </c>
      <c r="N8" s="66">
        <v>890</v>
      </c>
      <c r="O8" s="66">
        <v>5610</v>
      </c>
      <c r="P8" s="66">
        <v>3440</v>
      </c>
      <c r="Q8" s="66">
        <v>1730</v>
      </c>
      <c r="R8" s="66">
        <v>1940</v>
      </c>
      <c r="S8" s="66">
        <v>2260</v>
      </c>
      <c r="T8" s="66">
        <v>1950</v>
      </c>
      <c r="U8" s="66">
        <v>530</v>
      </c>
      <c r="V8" s="66">
        <v>3100</v>
      </c>
      <c r="W8" s="66">
        <v>2560</v>
      </c>
      <c r="X8" s="66">
        <v>4950</v>
      </c>
      <c r="Y8" s="66">
        <v>3830</v>
      </c>
      <c r="Z8" s="66">
        <v>1890</v>
      </c>
      <c r="AA8" s="66">
        <v>4130</v>
      </c>
      <c r="AB8" s="66">
        <v>640</v>
      </c>
      <c r="AC8" s="66">
        <v>970</v>
      </c>
      <c r="AD8" s="66">
        <v>2500</v>
      </c>
      <c r="AE8" s="66">
        <v>420</v>
      </c>
      <c r="AF8" s="66">
        <v>3090</v>
      </c>
      <c r="AG8" s="66">
        <v>740</v>
      </c>
      <c r="AH8" s="66">
        <v>7090</v>
      </c>
      <c r="AI8" s="66">
        <v>5800</v>
      </c>
      <c r="AJ8" s="66">
        <v>0</v>
      </c>
      <c r="AK8" s="66">
        <v>6020</v>
      </c>
      <c r="AL8" s="66">
        <v>5950</v>
      </c>
      <c r="AM8" s="66">
        <v>3270</v>
      </c>
      <c r="AN8" s="66">
        <v>6640</v>
      </c>
      <c r="AO8" s="66">
        <v>480</v>
      </c>
      <c r="AP8" s="66">
        <v>2730</v>
      </c>
      <c r="AQ8" s="66">
        <v>800</v>
      </c>
      <c r="AR8" s="66">
        <v>3610</v>
      </c>
      <c r="AS8" s="66">
        <v>11450</v>
      </c>
      <c r="AT8" s="66">
        <v>1980</v>
      </c>
      <c r="AU8" s="66">
        <v>80</v>
      </c>
      <c r="AV8" s="66">
        <v>5750</v>
      </c>
      <c r="AW8" s="66">
        <v>7370</v>
      </c>
      <c r="AX8" s="66">
        <v>830</v>
      </c>
      <c r="AY8" s="66">
        <v>3810</v>
      </c>
      <c r="AZ8" s="66">
        <v>220</v>
      </c>
      <c r="BA8" s="72">
        <f t="shared" si="0"/>
        <v>171850</v>
      </c>
      <c r="BB8" s="4">
        <f t="shared" si="1"/>
        <v>36320</v>
      </c>
      <c r="BC8" s="4">
        <f t="shared" si="2"/>
        <v>14600</v>
      </c>
      <c r="BD8" s="4">
        <f t="shared" si="3"/>
        <v>13400</v>
      </c>
      <c r="BE8" s="4">
        <f t="shared" si="4"/>
        <v>20600</v>
      </c>
      <c r="BF8" s="4">
        <f t="shared" si="5"/>
        <v>23830</v>
      </c>
      <c r="BG8" s="4">
        <f t="shared" si="6"/>
        <v>9700</v>
      </c>
      <c r="BH8" s="4">
        <f t="shared" si="7"/>
        <v>5800</v>
      </c>
      <c r="BI8" s="4">
        <f t="shared" si="8"/>
        <v>16820</v>
      </c>
      <c r="BJ8" s="73">
        <f t="shared" si="9"/>
        <v>30780</v>
      </c>
    </row>
    <row r="9" spans="1:62" ht="15.75">
      <c r="A9" s="1">
        <v>2027</v>
      </c>
      <c r="B9" s="62">
        <v>1940</v>
      </c>
      <c r="C9" s="63">
        <v>1180</v>
      </c>
      <c r="D9" s="64">
        <v>4480</v>
      </c>
      <c r="E9" s="65">
        <v>1220</v>
      </c>
      <c r="F9" s="66">
        <v>24570</v>
      </c>
      <c r="G9" s="66">
        <v>3240</v>
      </c>
      <c r="H9" s="66">
        <v>1750</v>
      </c>
      <c r="I9" s="66">
        <v>550</v>
      </c>
      <c r="J9" s="66">
        <v>90</v>
      </c>
      <c r="K9" s="66">
        <v>7240</v>
      </c>
      <c r="L9" s="66">
        <v>4840</v>
      </c>
      <c r="M9" s="66">
        <v>260</v>
      </c>
      <c r="N9" s="66">
        <v>950</v>
      </c>
      <c r="O9" s="66">
        <v>5750</v>
      </c>
      <c r="P9" s="66">
        <v>3390</v>
      </c>
      <c r="Q9" s="66">
        <v>1700</v>
      </c>
      <c r="R9" s="66">
        <v>1860</v>
      </c>
      <c r="S9" s="66">
        <v>2370</v>
      </c>
      <c r="T9" s="66">
        <v>2050</v>
      </c>
      <c r="U9" s="66">
        <v>540</v>
      </c>
      <c r="V9" s="66">
        <v>3190</v>
      </c>
      <c r="W9" s="66">
        <v>2690</v>
      </c>
      <c r="X9" s="66">
        <v>5000</v>
      </c>
      <c r="Y9" s="66">
        <v>3840</v>
      </c>
      <c r="Z9" s="66">
        <v>2330</v>
      </c>
      <c r="AA9" s="66">
        <v>4320</v>
      </c>
      <c r="AB9" s="66">
        <v>600</v>
      </c>
      <c r="AC9" s="66">
        <v>1020</v>
      </c>
      <c r="AD9" s="66">
        <v>2520</v>
      </c>
      <c r="AE9" s="66">
        <v>440</v>
      </c>
      <c r="AF9" s="66">
        <v>3320</v>
      </c>
      <c r="AG9" s="66">
        <v>740</v>
      </c>
      <c r="AH9" s="66">
        <v>7540</v>
      </c>
      <c r="AI9" s="66">
        <v>5700</v>
      </c>
      <c r="AJ9" s="66">
        <v>0</v>
      </c>
      <c r="AK9" s="66">
        <v>6270</v>
      </c>
      <c r="AL9" s="66">
        <v>5990</v>
      </c>
      <c r="AM9" s="66">
        <v>3200</v>
      </c>
      <c r="AN9" s="66">
        <v>6660</v>
      </c>
      <c r="AO9" s="66">
        <v>500</v>
      </c>
      <c r="AP9" s="66">
        <v>2890</v>
      </c>
      <c r="AQ9" s="66">
        <v>800</v>
      </c>
      <c r="AR9" s="66">
        <v>3750</v>
      </c>
      <c r="AS9" s="66">
        <v>11860</v>
      </c>
      <c r="AT9" s="66">
        <v>1970</v>
      </c>
      <c r="AU9" s="66">
        <v>90</v>
      </c>
      <c r="AV9" s="66">
        <v>5840</v>
      </c>
      <c r="AW9" s="66">
        <v>7510</v>
      </c>
      <c r="AX9" s="66">
        <v>860</v>
      </c>
      <c r="AY9" s="66">
        <v>4130</v>
      </c>
      <c r="AZ9" s="66">
        <v>200</v>
      </c>
      <c r="BA9" s="72">
        <f t="shared" si="0"/>
        <v>175740</v>
      </c>
      <c r="BB9" s="4">
        <f t="shared" si="1"/>
        <v>36720</v>
      </c>
      <c r="BC9" s="4">
        <f t="shared" si="2"/>
        <v>14700</v>
      </c>
      <c r="BD9" s="4">
        <f t="shared" si="3"/>
        <v>13540</v>
      </c>
      <c r="BE9" s="4">
        <f t="shared" si="4"/>
        <v>21120</v>
      </c>
      <c r="BF9" s="4">
        <f t="shared" si="5"/>
        <v>24540</v>
      </c>
      <c r="BG9" s="4">
        <f t="shared" si="6"/>
        <v>10390</v>
      </c>
      <c r="BH9" s="4">
        <f t="shared" si="7"/>
        <v>6010</v>
      </c>
      <c r="BI9" s="4">
        <f t="shared" si="8"/>
        <v>17520</v>
      </c>
      <c r="BJ9" s="73">
        <f t="shared" si="9"/>
        <v>31200</v>
      </c>
    </row>
    <row r="10" spans="1:62" ht="15.75">
      <c r="A10" s="1">
        <v>2028</v>
      </c>
      <c r="B10" s="67">
        <v>1810</v>
      </c>
      <c r="C10" s="68">
        <v>1100</v>
      </c>
      <c r="D10" s="69">
        <v>4820</v>
      </c>
      <c r="E10" s="70">
        <v>1310</v>
      </c>
      <c r="F10" s="71">
        <v>25560</v>
      </c>
      <c r="G10" s="71">
        <v>3440</v>
      </c>
      <c r="H10" s="71">
        <v>1850</v>
      </c>
      <c r="I10" s="71">
        <v>560</v>
      </c>
      <c r="J10" s="71">
        <v>120</v>
      </c>
      <c r="K10" s="71">
        <v>7280</v>
      </c>
      <c r="L10" s="71">
        <v>4970</v>
      </c>
      <c r="M10" s="71">
        <v>340</v>
      </c>
      <c r="N10" s="71">
        <v>980</v>
      </c>
      <c r="O10" s="71">
        <v>5750</v>
      </c>
      <c r="P10" s="71">
        <v>3410</v>
      </c>
      <c r="Q10" s="71">
        <v>1740</v>
      </c>
      <c r="R10" s="71">
        <v>1950</v>
      </c>
      <c r="S10" s="71">
        <v>2270</v>
      </c>
      <c r="T10" s="71">
        <v>2010</v>
      </c>
      <c r="U10" s="71">
        <v>530</v>
      </c>
      <c r="V10" s="71">
        <v>3200</v>
      </c>
      <c r="W10" s="71">
        <v>2660</v>
      </c>
      <c r="X10" s="71">
        <v>5250</v>
      </c>
      <c r="Y10" s="71">
        <v>3790</v>
      </c>
      <c r="Z10" s="71">
        <v>2800</v>
      </c>
      <c r="AA10" s="71">
        <v>4380</v>
      </c>
      <c r="AB10" s="71">
        <v>560</v>
      </c>
      <c r="AC10" s="71">
        <v>1010</v>
      </c>
      <c r="AD10" s="71">
        <v>2680</v>
      </c>
      <c r="AE10" s="71">
        <v>400</v>
      </c>
      <c r="AF10" s="71">
        <v>3550</v>
      </c>
      <c r="AG10" s="71">
        <v>790</v>
      </c>
      <c r="AH10" s="71">
        <v>7880</v>
      </c>
      <c r="AI10" s="71">
        <v>6030</v>
      </c>
      <c r="AJ10" s="71">
        <v>0</v>
      </c>
      <c r="AK10" s="71">
        <v>6190</v>
      </c>
      <c r="AL10" s="71">
        <v>6220</v>
      </c>
      <c r="AM10" s="71">
        <v>3270</v>
      </c>
      <c r="AN10" s="71">
        <v>7080</v>
      </c>
      <c r="AO10" s="71">
        <v>500</v>
      </c>
      <c r="AP10" s="71">
        <v>2980</v>
      </c>
      <c r="AQ10" s="71">
        <v>940</v>
      </c>
      <c r="AR10" s="71">
        <v>4210</v>
      </c>
      <c r="AS10" s="71">
        <v>12160</v>
      </c>
      <c r="AT10" s="71">
        <v>2130</v>
      </c>
      <c r="AU10" s="71">
        <v>80</v>
      </c>
      <c r="AV10" s="71">
        <v>5940</v>
      </c>
      <c r="AW10" s="71">
        <v>7610</v>
      </c>
      <c r="AX10" s="71">
        <v>860</v>
      </c>
      <c r="AY10" s="71">
        <v>4260</v>
      </c>
      <c r="AZ10" s="71">
        <v>260</v>
      </c>
      <c r="BA10" s="72">
        <f t="shared" si="0"/>
        <v>181470</v>
      </c>
      <c r="BB10" s="4">
        <f t="shared" si="1"/>
        <v>37880</v>
      </c>
      <c r="BC10" s="4">
        <f t="shared" si="2"/>
        <v>15660</v>
      </c>
      <c r="BD10" s="4">
        <f t="shared" si="3"/>
        <v>13810</v>
      </c>
      <c r="BE10" s="4">
        <f t="shared" si="4"/>
        <v>21700</v>
      </c>
      <c r="BF10" s="4">
        <f t="shared" si="5"/>
        <v>24860</v>
      </c>
      <c r="BG10" s="4">
        <f t="shared" si="6"/>
        <v>11090</v>
      </c>
      <c r="BH10" s="4">
        <f t="shared" si="7"/>
        <v>6020</v>
      </c>
      <c r="BI10" s="4">
        <f t="shared" si="8"/>
        <v>18510</v>
      </c>
      <c r="BJ10" s="73">
        <f t="shared" si="9"/>
        <v>31940</v>
      </c>
    </row>
    <row r="13" spans="1:62">
      <c r="A13" s="1" t="s">
        <v>143</v>
      </c>
    </row>
    <row r="14" spans="1:62">
      <c r="A14" t="s">
        <v>144</v>
      </c>
    </row>
  </sheetData>
  <sheetProtection algorithmName="SHA-512" hashValue="PVwVfVyVbDgqlEzbhCSiZP1GcFcs8Ihjrm+I+HbfX8ciIj2X+IsxXBCfDoqqpw6h7pmCa0jd6i6hclqJwpNC7w==" saltValue="nronM19VUIL5R8czkzvs5g==" spinCount="100000" sheet="1" objects="1" scenarios="1" selectLockedCells="1" selectUn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C6B57-D7B4-4DA9-9BC6-E046893F4A6A}">
  <sheetPr codeName="Sheet22">
    <tabColor theme="0" tint="-0.249977111117893"/>
  </sheetPr>
  <dimension ref="A1"/>
  <sheetViews>
    <sheetView workbookViewId="0"/>
  </sheetViews>
  <sheetFormatPr defaultRowHeight="1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2A74B-EAAA-4C47-A5A9-E2836F716A6D}">
  <sheetPr codeName="Sheet23"/>
  <dimension ref="A1:BJ11"/>
  <sheetViews>
    <sheetView topLeftCell="AE1" workbookViewId="0">
      <selection activeCell="BA1" sqref="BA1:BJ1"/>
    </sheetView>
  </sheetViews>
  <sheetFormatPr defaultRowHeight="15"/>
  <sheetData>
    <row r="1" spans="1:62">
      <c r="B1" s="1" t="s">
        <v>1</v>
      </c>
      <c r="C1" s="1" t="s">
        <v>107</v>
      </c>
      <c r="D1" s="1" t="s">
        <v>98</v>
      </c>
      <c r="E1" s="1" t="s">
        <v>93</v>
      </c>
      <c r="F1" s="1" t="s">
        <v>109</v>
      </c>
      <c r="G1" s="1" t="s">
        <v>100</v>
      </c>
      <c r="H1" s="1" t="s">
        <v>54</v>
      </c>
      <c r="I1" s="1" t="s">
        <v>79</v>
      </c>
      <c r="J1" s="16" t="s">
        <v>87</v>
      </c>
      <c r="K1" s="1" t="s">
        <v>81</v>
      </c>
      <c r="L1" s="1" t="s">
        <v>82</v>
      </c>
      <c r="M1" s="1" t="s">
        <v>110</v>
      </c>
      <c r="N1" s="1" t="s">
        <v>101</v>
      </c>
      <c r="O1" s="1" t="s">
        <v>65</v>
      </c>
      <c r="P1" s="1" t="s">
        <v>67</v>
      </c>
      <c r="Q1" s="1" t="s">
        <v>71</v>
      </c>
      <c r="R1" s="1" t="s">
        <v>73</v>
      </c>
      <c r="S1" s="1" t="s">
        <v>90</v>
      </c>
      <c r="T1" s="1" t="s">
        <v>95</v>
      </c>
      <c r="U1" s="1" t="s">
        <v>56</v>
      </c>
      <c r="V1" s="1" t="s">
        <v>83</v>
      </c>
      <c r="W1" s="1" t="s">
        <v>57</v>
      </c>
      <c r="X1" s="1" t="s">
        <v>68</v>
      </c>
      <c r="Y1" s="1" t="s">
        <v>74</v>
      </c>
      <c r="Z1" s="1" t="s">
        <v>91</v>
      </c>
      <c r="AA1" s="1" t="s">
        <v>75</v>
      </c>
      <c r="AB1" s="1" t="s">
        <v>102</v>
      </c>
      <c r="AC1" s="1" t="s">
        <v>76</v>
      </c>
      <c r="AD1" s="1" t="s">
        <v>103</v>
      </c>
      <c r="AE1" s="1" t="s">
        <v>58</v>
      </c>
      <c r="AF1" s="1" t="s">
        <v>61</v>
      </c>
      <c r="AG1" s="1" t="s">
        <v>104</v>
      </c>
      <c r="AH1" s="1" t="s">
        <v>63</v>
      </c>
      <c r="AI1" s="1" t="s">
        <v>84</v>
      </c>
      <c r="AJ1" s="1" t="s">
        <v>77</v>
      </c>
      <c r="AK1" s="1" t="s">
        <v>69</v>
      </c>
      <c r="AL1" s="1" t="s">
        <v>96</v>
      </c>
      <c r="AM1" s="1" t="s">
        <v>111</v>
      </c>
      <c r="AN1" s="1" t="s">
        <v>64</v>
      </c>
      <c r="AO1" s="1" t="s">
        <v>59</v>
      </c>
      <c r="AP1" s="1" t="s">
        <v>85</v>
      </c>
      <c r="AQ1" s="1" t="s">
        <v>78</v>
      </c>
      <c r="AR1" s="1" t="s">
        <v>92</v>
      </c>
      <c r="AS1" s="1" t="s">
        <v>97</v>
      </c>
      <c r="AT1" s="1" t="s">
        <v>105</v>
      </c>
      <c r="AU1" s="1" t="s">
        <v>60</v>
      </c>
      <c r="AV1" s="1" t="s">
        <v>86</v>
      </c>
      <c r="AW1" s="1" t="s">
        <v>112</v>
      </c>
      <c r="AX1" s="1" t="s">
        <v>88</v>
      </c>
      <c r="AY1" s="1" t="s">
        <v>70</v>
      </c>
      <c r="AZ1" s="1" t="s">
        <v>106</v>
      </c>
      <c r="BA1" s="1" t="s">
        <v>40</v>
      </c>
      <c r="BB1" s="1" t="s">
        <v>108</v>
      </c>
      <c r="BC1" s="1" t="s">
        <v>99</v>
      </c>
      <c r="BD1" s="1" t="s">
        <v>72</v>
      </c>
      <c r="BE1" s="1" t="s">
        <v>94</v>
      </c>
      <c r="BF1" s="1" t="s">
        <v>66</v>
      </c>
      <c r="BG1" s="1" t="s">
        <v>89</v>
      </c>
      <c r="BH1" s="1" t="s">
        <v>55</v>
      </c>
      <c r="BI1" s="1" t="s">
        <v>62</v>
      </c>
      <c r="BJ1" s="1" t="s">
        <v>80</v>
      </c>
    </row>
    <row r="2" spans="1:62">
      <c r="A2" s="1">
        <v>2020</v>
      </c>
      <c r="B2" s="72">
        <v>27247.384098986309</v>
      </c>
      <c r="C2" s="72">
        <v>1914.6547271494153</v>
      </c>
      <c r="D2" s="72">
        <v>26278.367999999999</v>
      </c>
      <c r="E2" s="72">
        <v>16036.15</v>
      </c>
      <c r="F2" s="72">
        <v>100567.62199999999</v>
      </c>
      <c r="G2" s="72">
        <v>33286.739180543336</v>
      </c>
      <c r="H2" s="72">
        <v>21893.77164688132</v>
      </c>
      <c r="I2" s="72">
        <v>4301.6377737434159</v>
      </c>
      <c r="J2" s="72">
        <v>3226.4384519244563</v>
      </c>
      <c r="K2" s="72">
        <v>70345.64</v>
      </c>
      <c r="L2" s="72">
        <v>48151.695901013692</v>
      </c>
      <c r="M2" s="72">
        <v>2976.2822728505848</v>
      </c>
      <c r="N2" s="72">
        <v>13229.278906182941</v>
      </c>
      <c r="O2" s="72">
        <v>74443.391519760378</v>
      </c>
      <c r="P2" s="72">
        <v>41117.088387823009</v>
      </c>
      <c r="Q2" s="72">
        <v>23281.3</v>
      </c>
      <c r="R2" s="72">
        <v>17894.719955846154</v>
      </c>
      <c r="S2" s="72">
        <v>28355.693692022705</v>
      </c>
      <c r="T2" s="72">
        <v>24880.51</v>
      </c>
      <c r="U2" s="72">
        <v>7178.3135882890301</v>
      </c>
      <c r="V2" s="72">
        <v>28491.012430753195</v>
      </c>
      <c r="W2" s="72">
        <v>39827.062810554446</v>
      </c>
      <c r="X2" s="72">
        <v>61298.96</v>
      </c>
      <c r="Y2" s="72">
        <v>41668.793769881828</v>
      </c>
      <c r="Z2" s="72">
        <v>13716.38</v>
      </c>
      <c r="AA2" s="72">
        <v>43901.319802374317</v>
      </c>
      <c r="AB2" s="72">
        <v>1827.4975615993194</v>
      </c>
      <c r="AC2" s="72">
        <v>11753.603714211255</v>
      </c>
      <c r="AD2" s="72">
        <v>10004.67</v>
      </c>
      <c r="AE2" s="72">
        <v>7537.5262699958585</v>
      </c>
      <c r="AF2" s="72">
        <v>36705.792350622396</v>
      </c>
      <c r="AG2" s="72">
        <v>5103.6270000000004</v>
      </c>
      <c r="AH2" s="72">
        <v>90692.362160487071</v>
      </c>
      <c r="AI2" s="72">
        <v>50849.420420622984</v>
      </c>
      <c r="AJ2" s="72">
        <v>4121.0020433069703</v>
      </c>
      <c r="AK2" s="72">
        <v>75072.874467807429</v>
      </c>
      <c r="AL2" s="72">
        <v>18002.332790581939</v>
      </c>
      <c r="AM2" s="72">
        <v>18739.339658064328</v>
      </c>
      <c r="AN2" s="72">
        <v>78828.057717037897</v>
      </c>
      <c r="AO2" s="72">
        <v>5582.1577995682965</v>
      </c>
      <c r="AP2" s="72">
        <v>23697.479579377017</v>
      </c>
      <c r="AQ2" s="72">
        <v>4332.5434703834244</v>
      </c>
      <c r="AR2" s="72">
        <v>33459.660000000003</v>
      </c>
      <c r="AS2" s="72">
        <v>101699.79120941806</v>
      </c>
      <c r="AT2" s="72">
        <v>25744.26</v>
      </c>
      <c r="AU2" s="72">
        <v>3547.7650231298794</v>
      </c>
      <c r="AV2" s="72">
        <v>41216.311676515783</v>
      </c>
      <c r="AW2" s="72">
        <v>36287.100341935678</v>
      </c>
      <c r="AX2" s="72">
        <v>8099.3330664914183</v>
      </c>
      <c r="AY2" s="72">
        <v>33727.729176582528</v>
      </c>
      <c r="AZ2" s="72">
        <v>3478.4308194566624</v>
      </c>
      <c r="BA2" s="72">
        <f>SUM(B2:AZ2)</f>
        <v>1545620.8772337767</v>
      </c>
      <c r="BB2" s="4">
        <f>C2+F2+M2+AM2+AW2</f>
        <v>160484.99900000001</v>
      </c>
      <c r="BC2" s="4">
        <f>D2+G2+N2+AB2+AD2+AG2+AT2+AZ2</f>
        <v>118952.87146778226</v>
      </c>
      <c r="BD2" s="4">
        <f>Q2+R2+Y2+AA2+AC2+AJ2+AQ2</f>
        <v>146953.28275600396</v>
      </c>
      <c r="BE2" s="4">
        <f>E2+T2+AL2+AS2</f>
        <v>160618.78399999999</v>
      </c>
      <c r="BF2" s="4">
        <f>O2+P2+X2+AK2+AY2</f>
        <v>285660.04355197336</v>
      </c>
      <c r="BG2" s="4">
        <f>B2+S2+Z2+AR2</f>
        <v>102779.11779100902</v>
      </c>
      <c r="BH2" s="4">
        <f>H2+U2+W2+AE2+AO2+AU2</f>
        <v>85566.597138418816</v>
      </c>
      <c r="BI2" s="4">
        <f>AF2+AH2+AN2</f>
        <v>206226.21222814737</v>
      </c>
      <c r="BJ2" s="73">
        <f>I2+K2+J2+L2+V2+AI2+AP2+AV2+AX2</f>
        <v>278378.96930044191</v>
      </c>
    </row>
    <row r="3" spans="1:62">
      <c r="A3" s="1">
        <v>2021</v>
      </c>
      <c r="B3" s="72">
        <v>23239.215754537316</v>
      </c>
      <c r="C3" s="72">
        <v>1622.3717957706265</v>
      </c>
      <c r="D3" s="72">
        <v>26529.148999999998</v>
      </c>
      <c r="E3" s="72">
        <v>14432.92</v>
      </c>
      <c r="F3" s="72">
        <v>99903.807000000015</v>
      </c>
      <c r="G3" s="72">
        <v>32712.518761180552</v>
      </c>
      <c r="H3" s="72">
        <v>22531.813598534081</v>
      </c>
      <c r="I3" s="72">
        <v>3917.886673590373</v>
      </c>
      <c r="J3" s="72">
        <v>2959.5742099055647</v>
      </c>
      <c r="K3" s="72">
        <v>62776.394</v>
      </c>
      <c r="L3" s="72">
        <v>47438.994245462687</v>
      </c>
      <c r="M3" s="72">
        <v>2534.1302042293737</v>
      </c>
      <c r="N3" s="72">
        <v>11351.901756498772</v>
      </c>
      <c r="O3" s="72">
        <v>68764.825797476355</v>
      </c>
      <c r="P3" s="72">
        <v>41681.811796338443</v>
      </c>
      <c r="Q3" s="72">
        <v>23457.29</v>
      </c>
      <c r="R3" s="72">
        <v>17794.250904786466</v>
      </c>
      <c r="S3" s="72">
        <v>26036.630699950794</v>
      </c>
      <c r="T3" s="72">
        <v>26490.35</v>
      </c>
      <c r="U3" s="72">
        <v>7728.5511107645361</v>
      </c>
      <c r="V3" s="72">
        <v>26651.340099271212</v>
      </c>
      <c r="W3" s="72">
        <v>41968.564282468746</v>
      </c>
      <c r="X3" s="72">
        <v>53934.8</v>
      </c>
      <c r="Y3" s="72">
        <v>43842.47842300417</v>
      </c>
      <c r="Z3" s="72">
        <v>11606.47</v>
      </c>
      <c r="AA3" s="72">
        <v>36810.956271762836</v>
      </c>
      <c r="AB3" s="72">
        <v>1575.4929167857381</v>
      </c>
      <c r="AC3" s="72">
        <v>11936.08946178965</v>
      </c>
      <c r="AD3" s="72">
        <v>9546.8459999999995</v>
      </c>
      <c r="AE3" s="72">
        <v>8011.291101855415</v>
      </c>
      <c r="AF3" s="72">
        <v>41080.466333585253</v>
      </c>
      <c r="AG3" s="72">
        <v>4925.9459999999999</v>
      </c>
      <c r="AH3" s="72">
        <v>100622.34993488522</v>
      </c>
      <c r="AI3" s="72">
        <v>50001.406272224121</v>
      </c>
      <c r="AJ3" s="72">
        <v>4352.2134928483056</v>
      </c>
      <c r="AK3" s="72">
        <v>71950.635029207377</v>
      </c>
      <c r="AL3" s="72">
        <v>16900.16171213195</v>
      </c>
      <c r="AM3" s="72">
        <v>19277.369911251884</v>
      </c>
      <c r="AN3" s="72">
        <v>78539.415056284648</v>
      </c>
      <c r="AO3" s="72">
        <v>6027.7461786541526</v>
      </c>
      <c r="AP3" s="72">
        <v>22744.65372777588</v>
      </c>
      <c r="AQ3" s="72">
        <v>4420.5591979199744</v>
      </c>
      <c r="AR3" s="72">
        <v>30800.91</v>
      </c>
      <c r="AS3" s="72">
        <v>99699.816287868045</v>
      </c>
      <c r="AT3" s="72">
        <v>26714.240000000002</v>
      </c>
      <c r="AU3" s="72">
        <v>3806.2734496076114</v>
      </c>
      <c r="AV3" s="72">
        <v>38620.389155984565</v>
      </c>
      <c r="AW3" s="72">
        <v>37418.670088748113</v>
      </c>
      <c r="AX3" s="72">
        <v>7538.3021851990688</v>
      </c>
      <c r="AY3" s="72">
        <v>34472.928924915614</v>
      </c>
      <c r="AZ3" s="72">
        <v>3413.5912388194497</v>
      </c>
      <c r="BA3" s="72">
        <f t="shared" ref="BA3:BA10" si="0">SUM(B3:AZ3)</f>
        <v>1513116.7600438751</v>
      </c>
      <c r="BB3" s="4">
        <f t="shared" ref="BB3:BB10" si="1">C3+F3+M3+AM3+AW3</f>
        <v>160756.34899999999</v>
      </c>
      <c r="BC3" s="4">
        <f t="shared" ref="BC3:BC10" si="2">D3+G3+N3+AB3+AD3+AG3+AT3+AZ3</f>
        <v>116769.68567328452</v>
      </c>
      <c r="BD3" s="4">
        <f t="shared" ref="BD3:BD10" si="3">Q3+R3+Y3+AA3+AC3+AJ3+AQ3</f>
        <v>142613.83775211137</v>
      </c>
      <c r="BE3" s="4">
        <f t="shared" ref="BE3:BE10" si="4">E3+T3+AL3+AS3</f>
        <v>157523.24799999999</v>
      </c>
      <c r="BF3" s="4">
        <f t="shared" ref="BF3:BF10" si="5">O3+P3+X3+AK3+AY3</f>
        <v>270805.00154793781</v>
      </c>
      <c r="BG3" s="4">
        <f t="shared" ref="BG3:BG10" si="6">B3+S3+Z3+AR3</f>
        <v>91683.226454488118</v>
      </c>
      <c r="BH3" s="4">
        <f t="shared" ref="BH3:BH10" si="7">H3+U3+W3+AE3+AO3+AU3</f>
        <v>90074.239721884544</v>
      </c>
      <c r="BI3" s="4">
        <f t="shared" ref="BI3:BI10" si="8">AF3+AH3+AN3</f>
        <v>220242.23132475512</v>
      </c>
      <c r="BJ3" s="73">
        <f t="shared" ref="BJ3:BJ10" si="9">I3+K3+J3+L3+V3+AI3+AP3+AV3+AX3</f>
        <v>262648.94056941348</v>
      </c>
    </row>
    <row r="4" spans="1:62">
      <c r="A4" s="1">
        <v>2022</v>
      </c>
      <c r="B4" s="72">
        <v>25853.865826276975</v>
      </c>
      <c r="C4" s="72">
        <v>1630.0148628510779</v>
      </c>
      <c r="D4" s="72">
        <v>27339.017</v>
      </c>
      <c r="E4" s="72">
        <v>15394.46</v>
      </c>
      <c r="F4" s="72">
        <v>101763.943</v>
      </c>
      <c r="G4" s="72">
        <v>31366.503608231571</v>
      </c>
      <c r="H4" s="72">
        <v>22700.530654292656</v>
      </c>
      <c r="I4" s="72">
        <v>4080.2002457725694</v>
      </c>
      <c r="J4" s="72">
        <v>3227.7715830956686</v>
      </c>
      <c r="K4" s="72">
        <v>70348.146000000008</v>
      </c>
      <c r="L4" s="72">
        <v>49752.144173723027</v>
      </c>
      <c r="M4" s="72">
        <v>2613.1891371489219</v>
      </c>
      <c r="N4" s="72">
        <v>13758.268252905089</v>
      </c>
      <c r="O4" s="72">
        <v>64745.532846111237</v>
      </c>
      <c r="P4" s="72">
        <v>45956.62681580388</v>
      </c>
      <c r="Q4" s="72">
        <v>22168.1</v>
      </c>
      <c r="R4" s="72">
        <v>19114.990054072252</v>
      </c>
      <c r="S4" s="72">
        <v>26773.170756944644</v>
      </c>
      <c r="T4" s="72">
        <v>25571.4</v>
      </c>
      <c r="U4" s="72">
        <v>7363.2032869296036</v>
      </c>
      <c r="V4" s="72">
        <v>27537.478913589144</v>
      </c>
      <c r="W4" s="72">
        <v>42048.527364793583</v>
      </c>
      <c r="X4" s="72">
        <v>57992.850000000006</v>
      </c>
      <c r="Y4" s="72">
        <v>43315.914759347448</v>
      </c>
      <c r="Z4" s="72">
        <v>11032.11</v>
      </c>
      <c r="AA4" s="72">
        <v>41722.207133939861</v>
      </c>
      <c r="AB4" s="72">
        <v>1893.0038394887374</v>
      </c>
      <c r="AC4" s="72">
        <v>12619.541629346908</v>
      </c>
      <c r="AD4" s="72">
        <v>9760.6620000000003</v>
      </c>
      <c r="AE4" s="72">
        <v>7503.452688082486</v>
      </c>
      <c r="AF4" s="72">
        <v>37159.82445407979</v>
      </c>
      <c r="AG4" s="72">
        <v>4125.2110000000002</v>
      </c>
      <c r="AH4" s="72">
        <v>93445.600039985788</v>
      </c>
      <c r="AI4" s="72">
        <v>47884.349023836556</v>
      </c>
      <c r="AJ4" s="72">
        <v>4701.4262245375476</v>
      </c>
      <c r="AK4" s="72">
        <v>74083.012695959129</v>
      </c>
      <c r="AL4" s="72">
        <v>16120.170045091736</v>
      </c>
      <c r="AM4" s="72">
        <v>20182.607816559736</v>
      </c>
      <c r="AN4" s="72">
        <v>74981.607223904764</v>
      </c>
      <c r="AO4" s="72">
        <v>5955.823571948129</v>
      </c>
      <c r="AP4" s="72">
        <v>24485.970976163448</v>
      </c>
      <c r="AQ4" s="72">
        <v>4936.9447942871711</v>
      </c>
      <c r="AR4" s="72">
        <v>34364.300000000003</v>
      </c>
      <c r="AS4" s="72">
        <v>104324.76995490828</v>
      </c>
      <c r="AT4" s="72">
        <v>25681.67</v>
      </c>
      <c r="AU4" s="72">
        <v>3688.5784969940473</v>
      </c>
      <c r="AV4" s="72">
        <v>39562.828796745714</v>
      </c>
      <c r="AW4" s="72">
        <v>39587.352183440256</v>
      </c>
      <c r="AX4" s="72">
        <v>7607.4448826133821</v>
      </c>
      <c r="AY4" s="72">
        <v>30220.292289649908</v>
      </c>
      <c r="AZ4" s="72">
        <v>3385.4563917684322</v>
      </c>
      <c r="BA4" s="72">
        <f t="shared" si="0"/>
        <v>1533432.0672952209</v>
      </c>
      <c r="BB4" s="4">
        <f t="shared" si="1"/>
        <v>165777.10699999999</v>
      </c>
      <c r="BC4" s="4">
        <f t="shared" si="2"/>
        <v>117309.79209239382</v>
      </c>
      <c r="BD4" s="4">
        <f t="shared" si="3"/>
        <v>148579.12459553118</v>
      </c>
      <c r="BE4" s="4">
        <f t="shared" si="4"/>
        <v>161410.80000000002</v>
      </c>
      <c r="BF4" s="4">
        <f t="shared" si="5"/>
        <v>272998.31464752415</v>
      </c>
      <c r="BG4" s="4">
        <f t="shared" si="6"/>
        <v>98023.446583221623</v>
      </c>
      <c r="BH4" s="4">
        <f t="shared" si="7"/>
        <v>89260.116063040492</v>
      </c>
      <c r="BI4" s="4">
        <f t="shared" si="8"/>
        <v>205587.03171797033</v>
      </c>
      <c r="BJ4" s="73">
        <f t="shared" si="9"/>
        <v>274486.33459553949</v>
      </c>
    </row>
    <row r="5" spans="1:62">
      <c r="A5" s="1">
        <v>2023</v>
      </c>
      <c r="B5" s="72">
        <v>24536.083265045982</v>
      </c>
      <c r="C5" s="72">
        <v>1997.6006483445399</v>
      </c>
      <c r="D5" s="72">
        <v>23186.880000000001</v>
      </c>
      <c r="E5" s="72">
        <v>15215.67</v>
      </c>
      <c r="F5" s="72">
        <v>96553.081000000006</v>
      </c>
      <c r="G5" s="72">
        <v>31760.154034363437</v>
      </c>
      <c r="H5" s="72">
        <v>20373.545805279231</v>
      </c>
      <c r="I5" s="72">
        <v>4282.2352303601238</v>
      </c>
      <c r="J5" s="72">
        <v>3214.994664119798</v>
      </c>
      <c r="K5" s="72">
        <v>66616.106</v>
      </c>
      <c r="L5" s="72">
        <v>51734.426734954017</v>
      </c>
      <c r="M5" s="72">
        <v>3177.9423516554598</v>
      </c>
      <c r="N5" s="72">
        <v>12485.450910190239</v>
      </c>
      <c r="O5" s="72">
        <v>65766.205395631157</v>
      </c>
      <c r="P5" s="72">
        <v>40533.076264782641</v>
      </c>
      <c r="Q5" s="72">
        <v>24730.11</v>
      </c>
      <c r="R5" s="72">
        <v>19203.840969836958</v>
      </c>
      <c r="S5" s="72">
        <v>30084.87814154262</v>
      </c>
      <c r="T5" s="72">
        <v>24859.87</v>
      </c>
      <c r="U5" s="72">
        <v>7398.6397770468584</v>
      </c>
      <c r="V5" s="72">
        <v>28878.354266697203</v>
      </c>
      <c r="W5" s="72">
        <v>38941.110887108785</v>
      </c>
      <c r="X5" s="72">
        <v>54698.68</v>
      </c>
      <c r="Y5" s="72">
        <v>41924.487747191371</v>
      </c>
      <c r="Z5" s="72">
        <v>11584.7</v>
      </c>
      <c r="AA5" s="72">
        <v>40337.001784097774</v>
      </c>
      <c r="AB5" s="72">
        <v>1785.1639277279321</v>
      </c>
      <c r="AC5" s="72">
        <v>12666.500914950137</v>
      </c>
      <c r="AD5" s="72">
        <v>11474.19</v>
      </c>
      <c r="AE5" s="72">
        <v>7621.0639456755571</v>
      </c>
      <c r="AF5" s="72">
        <v>37371.072127326857</v>
      </c>
      <c r="AG5" s="72">
        <v>5627.5420000000004</v>
      </c>
      <c r="AH5" s="72">
        <v>94492.535637940455</v>
      </c>
      <c r="AI5" s="72">
        <v>51020.622773159193</v>
      </c>
      <c r="AJ5" s="72">
        <v>5060.970520827831</v>
      </c>
      <c r="AK5" s="72">
        <v>78648.428977373493</v>
      </c>
      <c r="AL5" s="72">
        <v>17672.386109836982</v>
      </c>
      <c r="AM5" s="72">
        <v>18839.603061145368</v>
      </c>
      <c r="AN5" s="72">
        <v>76303.258510241692</v>
      </c>
      <c r="AO5" s="72">
        <v>5441.2143217537778</v>
      </c>
      <c r="AP5" s="72">
        <v>22985.927226840806</v>
      </c>
      <c r="AQ5" s="72">
        <v>4933.8789252723345</v>
      </c>
      <c r="AR5" s="72">
        <v>35585.64</v>
      </c>
      <c r="AS5" s="72">
        <v>95028.829890163019</v>
      </c>
      <c r="AT5" s="72">
        <v>28425.27</v>
      </c>
      <c r="AU5" s="72">
        <v>3615.8114324845119</v>
      </c>
      <c r="AV5" s="72">
        <v>41154.22231780272</v>
      </c>
      <c r="AW5" s="72">
        <v>36754.656938854627</v>
      </c>
      <c r="AX5" s="72">
        <v>7714.1615439338311</v>
      </c>
      <c r="AY5" s="72">
        <v>33926.120358493681</v>
      </c>
      <c r="AZ5" s="72">
        <v>3463.2159656365566</v>
      </c>
      <c r="BA5" s="72">
        <f t="shared" si="0"/>
        <v>1521687.4133056891</v>
      </c>
      <c r="BB5" s="4">
        <f t="shared" si="1"/>
        <v>157322.88400000002</v>
      </c>
      <c r="BC5" s="4">
        <f t="shared" si="2"/>
        <v>118207.86683791818</v>
      </c>
      <c r="BD5" s="4">
        <f t="shared" si="3"/>
        <v>148856.79086217639</v>
      </c>
      <c r="BE5" s="4">
        <f t="shared" si="4"/>
        <v>152776.75599999999</v>
      </c>
      <c r="BF5" s="4">
        <f t="shared" si="5"/>
        <v>273572.51099628099</v>
      </c>
      <c r="BG5" s="4">
        <f t="shared" si="6"/>
        <v>101791.30140658859</v>
      </c>
      <c r="BH5" s="4">
        <f t="shared" si="7"/>
        <v>83391.386169348727</v>
      </c>
      <c r="BI5" s="4">
        <f t="shared" si="8"/>
        <v>208166.866275509</v>
      </c>
      <c r="BJ5" s="73">
        <f t="shared" si="9"/>
        <v>277601.05075786769</v>
      </c>
    </row>
    <row r="6" spans="1:62">
      <c r="A6" s="1">
        <v>2024</v>
      </c>
      <c r="B6" s="72">
        <v>23768.457411302315</v>
      </c>
      <c r="C6" s="72">
        <v>1560.7686149220831</v>
      </c>
      <c r="D6" s="72">
        <v>25210.788</v>
      </c>
      <c r="E6" s="72">
        <v>13006.49</v>
      </c>
      <c r="F6" s="72">
        <v>109773.03899999999</v>
      </c>
      <c r="G6" s="72">
        <v>31613.872803131162</v>
      </c>
      <c r="H6" s="72">
        <v>20230.4867489682</v>
      </c>
      <c r="I6" s="72">
        <v>3869.8828043170597</v>
      </c>
      <c r="J6" s="72">
        <v>3000.7294216554624</v>
      </c>
      <c r="K6" s="72">
        <v>70246.433000000005</v>
      </c>
      <c r="L6" s="72">
        <v>51500.012588697689</v>
      </c>
      <c r="M6" s="72">
        <v>2548.3283850779167</v>
      </c>
      <c r="N6" s="72">
        <v>14050.431169192381</v>
      </c>
      <c r="O6" s="72">
        <v>64710.66116904941</v>
      </c>
      <c r="P6" s="72">
        <v>40506.75635427318</v>
      </c>
      <c r="Q6" s="72">
        <v>22376.45</v>
      </c>
      <c r="R6" s="72">
        <v>16979.124772053132</v>
      </c>
      <c r="S6" s="72">
        <v>27025.766803678198</v>
      </c>
      <c r="T6" s="72">
        <v>23682.36</v>
      </c>
      <c r="U6" s="72">
        <v>7289.6295990394683</v>
      </c>
      <c r="V6" s="72">
        <v>27310.803401863112</v>
      </c>
      <c r="W6" s="72">
        <v>38992.696824114952</v>
      </c>
      <c r="X6" s="72">
        <v>52801.21</v>
      </c>
      <c r="Y6" s="72">
        <v>37501.386661225399</v>
      </c>
      <c r="Z6" s="72">
        <v>10930.88</v>
      </c>
      <c r="AA6" s="72">
        <v>40982.410782537416</v>
      </c>
      <c r="AB6" s="72">
        <v>1914.5717823902121</v>
      </c>
      <c r="AC6" s="72">
        <v>10294.467667472098</v>
      </c>
      <c r="AD6" s="72">
        <v>9364.3169999999991</v>
      </c>
      <c r="AE6" s="72">
        <v>7337.1341621644269</v>
      </c>
      <c r="AF6" s="72">
        <v>36180.272458178733</v>
      </c>
      <c r="AG6" s="72">
        <v>6488.5029999999997</v>
      </c>
      <c r="AH6" s="72">
        <v>89677.581974657092</v>
      </c>
      <c r="AI6" s="72">
        <v>47910.016208016335</v>
      </c>
      <c r="AJ6" s="72">
        <v>4508.9475079772874</v>
      </c>
      <c r="AK6" s="72">
        <v>72790.509741817339</v>
      </c>
      <c r="AL6" s="72">
        <v>18509.827919539039</v>
      </c>
      <c r="AM6" s="72">
        <v>18874.232768574391</v>
      </c>
      <c r="AN6" s="72">
        <v>73779.553135039459</v>
      </c>
      <c r="AO6" s="72">
        <v>5473.3246108551684</v>
      </c>
      <c r="AP6" s="72">
        <v>22709.583791983663</v>
      </c>
      <c r="AQ6" s="72">
        <v>4389.6090709813716</v>
      </c>
      <c r="AR6" s="72">
        <v>33872.339999999997</v>
      </c>
      <c r="AS6" s="72">
        <v>100755.51108046096</v>
      </c>
      <c r="AT6" s="72">
        <v>23431.97</v>
      </c>
      <c r="AU6" s="72">
        <v>3636.3199964891214</v>
      </c>
      <c r="AV6" s="72">
        <v>38605.994494585502</v>
      </c>
      <c r="AW6" s="72">
        <v>37128.267231425605</v>
      </c>
      <c r="AX6" s="72">
        <v>7238.8242039679562</v>
      </c>
      <c r="AY6" s="72">
        <v>33538.949468935178</v>
      </c>
      <c r="AZ6" s="72">
        <v>3488.2471968688315</v>
      </c>
      <c r="BA6" s="72">
        <f t="shared" si="0"/>
        <v>1493368.7327874785</v>
      </c>
      <c r="BB6" s="4">
        <f t="shared" si="1"/>
        <v>169884.636</v>
      </c>
      <c r="BC6" s="4">
        <f t="shared" si="2"/>
        <v>115562.70095158258</v>
      </c>
      <c r="BD6" s="4">
        <f t="shared" si="3"/>
        <v>137032.39646224672</v>
      </c>
      <c r="BE6" s="4">
        <f t="shared" si="4"/>
        <v>155954.18900000001</v>
      </c>
      <c r="BF6" s="4">
        <f t="shared" si="5"/>
        <v>264348.0867340751</v>
      </c>
      <c r="BG6" s="4">
        <f t="shared" si="6"/>
        <v>95597.444214980496</v>
      </c>
      <c r="BH6" s="4">
        <f t="shared" si="7"/>
        <v>82959.591941631341</v>
      </c>
      <c r="BI6" s="4">
        <f t="shared" si="8"/>
        <v>199637.40756787529</v>
      </c>
      <c r="BJ6" s="73">
        <f t="shared" si="9"/>
        <v>272392.27991508675</v>
      </c>
    </row>
    <row r="7" spans="1:62">
      <c r="A7" s="1">
        <v>2025</v>
      </c>
      <c r="B7" s="72">
        <v>25370.278382310542</v>
      </c>
      <c r="C7" s="72">
        <v>1891.1158618063646</v>
      </c>
      <c r="D7" s="72">
        <v>23959.455000000002</v>
      </c>
      <c r="E7" s="72">
        <v>14784.68</v>
      </c>
      <c r="F7" s="72">
        <v>104109.32999999999</v>
      </c>
      <c r="G7" s="72">
        <v>32345.486140315326</v>
      </c>
      <c r="H7" s="72">
        <v>19041.612187001567</v>
      </c>
      <c r="I7" s="72">
        <v>4045.7062803516728</v>
      </c>
      <c r="J7" s="72">
        <v>2987.5634929904736</v>
      </c>
      <c r="K7" s="72">
        <v>68529.687000000005</v>
      </c>
      <c r="L7" s="72">
        <v>49281.031617689456</v>
      </c>
      <c r="M7" s="72">
        <v>2955.7201381936352</v>
      </c>
      <c r="N7" s="72">
        <v>12757.844174602456</v>
      </c>
      <c r="O7" s="72">
        <v>69101.225890484289</v>
      </c>
      <c r="P7" s="72">
        <v>40074.444584126788</v>
      </c>
      <c r="Q7" s="72">
        <v>21862.15</v>
      </c>
      <c r="R7" s="72">
        <v>18756.153047002077</v>
      </c>
      <c r="S7" s="72">
        <v>29117.20575195834</v>
      </c>
      <c r="T7" s="72">
        <v>29920.41</v>
      </c>
      <c r="U7" s="72">
        <v>6855.9881548587919</v>
      </c>
      <c r="V7" s="72">
        <v>27376.395211203253</v>
      </c>
      <c r="W7" s="72">
        <v>36764.233092708506</v>
      </c>
      <c r="X7" s="72">
        <v>52288.81</v>
      </c>
      <c r="Y7" s="72">
        <v>39284.612542458643</v>
      </c>
      <c r="Z7" s="72">
        <v>13142.89</v>
      </c>
      <c r="AA7" s="72">
        <v>41311.65588831577</v>
      </c>
      <c r="AB7" s="72">
        <v>1752.4613382458069</v>
      </c>
      <c r="AC7" s="72">
        <v>11890.809802203976</v>
      </c>
      <c r="AD7" s="72">
        <v>9530.4869999999992</v>
      </c>
      <c r="AE7" s="72">
        <v>6916.3728718803413</v>
      </c>
      <c r="AF7" s="72">
        <v>36093.316216312094</v>
      </c>
      <c r="AG7" s="72">
        <v>5975.9780000000001</v>
      </c>
      <c r="AH7" s="72">
        <v>88747.248223619637</v>
      </c>
      <c r="AI7" s="72">
        <v>47225.594976169159</v>
      </c>
      <c r="AJ7" s="72">
        <v>4875.72427724715</v>
      </c>
      <c r="AK7" s="72">
        <v>75778.795575530006</v>
      </c>
      <c r="AL7" s="72">
        <v>19539.585663924725</v>
      </c>
      <c r="AM7" s="72">
        <v>19121.849874214775</v>
      </c>
      <c r="AN7" s="72">
        <v>71226.832316898552</v>
      </c>
      <c r="AO7" s="72">
        <v>5026.0427067921582</v>
      </c>
      <c r="AP7" s="72">
        <v>23601.155023830834</v>
      </c>
      <c r="AQ7" s="72">
        <v>4773.2018239460331</v>
      </c>
      <c r="AR7" s="72">
        <v>32164.6</v>
      </c>
      <c r="AS7" s="72">
        <v>107727.78733607527</v>
      </c>
      <c r="AT7" s="72">
        <v>25977.95</v>
      </c>
      <c r="AU7" s="72">
        <v>3423.7341882020278</v>
      </c>
      <c r="AV7" s="72">
        <v>38927.138777934742</v>
      </c>
      <c r="AW7" s="72">
        <v>38433.450125785224</v>
      </c>
      <c r="AX7" s="72">
        <v>7446.0525711518385</v>
      </c>
      <c r="AY7" s="72">
        <v>34838.020816726937</v>
      </c>
      <c r="AZ7" s="72">
        <v>3788.6138596846799</v>
      </c>
      <c r="BA7" s="72">
        <f t="shared" si="0"/>
        <v>1512718.4878047542</v>
      </c>
      <c r="BB7" s="4">
        <f t="shared" si="1"/>
        <v>166511.46599999999</v>
      </c>
      <c r="BC7" s="4">
        <f t="shared" si="2"/>
        <v>116088.27551284827</v>
      </c>
      <c r="BD7" s="4">
        <f t="shared" si="3"/>
        <v>142754.30738117365</v>
      </c>
      <c r="BE7" s="4">
        <f t="shared" si="4"/>
        <v>171972.46299999999</v>
      </c>
      <c r="BF7" s="4">
        <f t="shared" si="5"/>
        <v>272081.29686686804</v>
      </c>
      <c r="BG7" s="4">
        <f t="shared" si="6"/>
        <v>99794.974134268879</v>
      </c>
      <c r="BH7" s="4">
        <f t="shared" si="7"/>
        <v>78027.983201443392</v>
      </c>
      <c r="BI7" s="4">
        <f t="shared" si="8"/>
        <v>196067.39675683028</v>
      </c>
      <c r="BJ7" s="73">
        <f t="shared" si="9"/>
        <v>269420.32495132141</v>
      </c>
    </row>
    <row r="8" spans="1:62">
      <c r="A8" s="1">
        <v>2026</v>
      </c>
      <c r="B8" s="72">
        <v>23399.10238607393</v>
      </c>
      <c r="C8" s="72">
        <v>1881.1170354465444</v>
      </c>
      <c r="D8" s="72">
        <v>23398.575000000001</v>
      </c>
      <c r="E8" s="72">
        <v>14704.53</v>
      </c>
      <c r="F8" s="72">
        <v>93833.102000000014</v>
      </c>
      <c r="G8" s="72">
        <v>31286.795686381516</v>
      </c>
      <c r="H8" s="72">
        <v>18242.260617814281</v>
      </c>
      <c r="I8" s="72">
        <v>4126.2994155980159</v>
      </c>
      <c r="J8" s="72">
        <v>3233.4952746398139</v>
      </c>
      <c r="K8" s="72">
        <v>70398.372000000003</v>
      </c>
      <c r="L8" s="72">
        <v>49157.277613926068</v>
      </c>
      <c r="M8" s="72">
        <v>2885.0889645534562</v>
      </c>
      <c r="N8" s="72">
        <v>14408.75550748386</v>
      </c>
      <c r="O8" s="72">
        <v>63011.4778213428</v>
      </c>
      <c r="P8" s="72">
        <v>39645.942087722906</v>
      </c>
      <c r="Q8" s="72">
        <v>20667.78</v>
      </c>
      <c r="R8" s="72">
        <v>17205.523753864407</v>
      </c>
      <c r="S8" s="72">
        <v>24607.366508420586</v>
      </c>
      <c r="T8" s="72">
        <v>25268.38</v>
      </c>
      <c r="U8" s="72">
        <v>6516.1309476344459</v>
      </c>
      <c r="V8" s="72">
        <v>28327.587133080324</v>
      </c>
      <c r="W8" s="72">
        <v>35692.631953765223</v>
      </c>
      <c r="X8" s="72">
        <v>46971.380000000005</v>
      </c>
      <c r="Y8" s="72">
        <v>39244.029638542641</v>
      </c>
      <c r="Z8" s="72">
        <v>12782.81</v>
      </c>
      <c r="AA8" s="72">
        <v>40930.097930842043</v>
      </c>
      <c r="AB8" s="72">
        <v>1989.6643083627853</v>
      </c>
      <c r="AC8" s="72">
        <v>11074.959160034105</v>
      </c>
      <c r="AD8" s="72">
        <v>9358.0879999999997</v>
      </c>
      <c r="AE8" s="72">
        <v>6485.7694807766056</v>
      </c>
      <c r="AF8" s="72">
        <v>35299.772116302112</v>
      </c>
      <c r="AG8" s="72">
        <v>4398.5469999999996</v>
      </c>
      <c r="AH8" s="72">
        <v>86426.214362682862</v>
      </c>
      <c r="AI8" s="72">
        <v>50625.276315846662</v>
      </c>
      <c r="AJ8" s="72">
        <v>4552.9824846733618</v>
      </c>
      <c r="AK8" s="72">
        <v>70434.627969600653</v>
      </c>
      <c r="AL8" s="72">
        <v>18585.131583426784</v>
      </c>
      <c r="AM8" s="72">
        <v>18262.517360957136</v>
      </c>
      <c r="AN8" s="72">
        <v>76259.240980961637</v>
      </c>
      <c r="AO8" s="72">
        <v>4762.5666523758782</v>
      </c>
      <c r="AP8" s="72">
        <v>22156.863684153337</v>
      </c>
      <c r="AQ8" s="72">
        <v>4381.2178347435083</v>
      </c>
      <c r="AR8" s="72">
        <v>37300.550000000003</v>
      </c>
      <c r="AS8" s="72">
        <v>95268.244416573216</v>
      </c>
      <c r="AT8" s="72">
        <v>27552.52</v>
      </c>
      <c r="AU8" s="72">
        <v>3176.7291521208435</v>
      </c>
      <c r="AV8" s="72">
        <v>40773.618700942214</v>
      </c>
      <c r="AW8" s="72">
        <v>37749.242639042859</v>
      </c>
      <c r="AX8" s="72">
        <v>7875.8824293320749</v>
      </c>
      <c r="AY8" s="72">
        <v>33178.554810212998</v>
      </c>
      <c r="AZ8" s="72">
        <v>3661.9143136184898</v>
      </c>
      <c r="BA8" s="72">
        <f t="shared" si="0"/>
        <v>1463416.6050338736</v>
      </c>
      <c r="BB8" s="4">
        <f t="shared" si="1"/>
        <v>154611.06800000003</v>
      </c>
      <c r="BC8" s="4">
        <f t="shared" si="2"/>
        <v>116054.85981584666</v>
      </c>
      <c r="BD8" s="4">
        <f t="shared" si="3"/>
        <v>138056.59080270006</v>
      </c>
      <c r="BE8" s="4">
        <f t="shared" si="4"/>
        <v>153826.28600000002</v>
      </c>
      <c r="BF8" s="4">
        <f t="shared" si="5"/>
        <v>253241.98268887936</v>
      </c>
      <c r="BG8" s="4">
        <f t="shared" si="6"/>
        <v>98089.828894494509</v>
      </c>
      <c r="BH8" s="4">
        <f t="shared" si="7"/>
        <v>74876.088804487285</v>
      </c>
      <c r="BI8" s="4">
        <f t="shared" si="8"/>
        <v>197985.22745994659</v>
      </c>
      <c r="BJ8" s="73">
        <f t="shared" si="9"/>
        <v>276674.67256751849</v>
      </c>
    </row>
    <row r="9" spans="1:62">
      <c r="A9" s="1">
        <v>2027</v>
      </c>
      <c r="B9" s="72">
        <v>22873.818211516285</v>
      </c>
      <c r="C9" s="72">
        <v>1732.8973971115158</v>
      </c>
      <c r="D9" s="72">
        <v>24243.906999999999</v>
      </c>
      <c r="E9" s="72">
        <v>11754.72</v>
      </c>
      <c r="F9" s="72">
        <v>96634.187999999995</v>
      </c>
      <c r="G9" s="72">
        <v>32012.218848081917</v>
      </c>
      <c r="H9" s="72">
        <v>16763.419226239985</v>
      </c>
      <c r="I9" s="72">
        <v>3879.2735139590327</v>
      </c>
      <c r="J9" s="72">
        <v>3213.7600437201377</v>
      </c>
      <c r="K9" s="72">
        <v>66171.843999999997</v>
      </c>
      <c r="L9" s="72">
        <v>48306.49178848372</v>
      </c>
      <c r="M9" s="72">
        <v>2654.7866028884841</v>
      </c>
      <c r="N9" s="72">
        <v>11965.671920728308</v>
      </c>
      <c r="O9" s="72">
        <v>60650.428295131504</v>
      </c>
      <c r="P9" s="72">
        <v>39543.53213799683</v>
      </c>
      <c r="Q9" s="72">
        <v>22010.73</v>
      </c>
      <c r="R9" s="72">
        <v>17056.73266296952</v>
      </c>
      <c r="S9" s="72">
        <v>24125.809200586253</v>
      </c>
      <c r="T9" s="72">
        <v>22577.98</v>
      </c>
      <c r="U9" s="72">
        <v>6309.0884736931221</v>
      </c>
      <c r="V9" s="72">
        <v>26708.508667618677</v>
      </c>
      <c r="W9" s="72">
        <v>32952.976668366828</v>
      </c>
      <c r="X9" s="72">
        <v>50567.28</v>
      </c>
      <c r="Y9" s="72">
        <v>35710.22261944491</v>
      </c>
      <c r="Z9" s="72">
        <v>10735.05</v>
      </c>
      <c r="AA9" s="72">
        <v>39058.984611258551</v>
      </c>
      <c r="AB9" s="72">
        <v>1683.5629199432487</v>
      </c>
      <c r="AC9" s="72">
        <v>10741.471637643715</v>
      </c>
      <c r="AD9" s="72">
        <v>9104.3130000000001</v>
      </c>
      <c r="AE9" s="72">
        <v>6284.2213139487585</v>
      </c>
      <c r="AF9" s="72">
        <v>33906.59203838851</v>
      </c>
      <c r="AG9" s="72">
        <v>5750.9840000000004</v>
      </c>
      <c r="AH9" s="72">
        <v>83863.25046333982</v>
      </c>
      <c r="AI9" s="72">
        <v>49036.629652424403</v>
      </c>
      <c r="AJ9" s="72">
        <v>4667.8877609533829</v>
      </c>
      <c r="AK9" s="72">
        <v>69414.54772687683</v>
      </c>
      <c r="AL9" s="72">
        <v>19011.726977707054</v>
      </c>
      <c r="AM9" s="72">
        <v>18281.042637133047</v>
      </c>
      <c r="AN9" s="72">
        <v>74763.642579655017</v>
      </c>
      <c r="AO9" s="72">
        <v>4417.4344699207059</v>
      </c>
      <c r="AP9" s="72">
        <v>20835.340347575595</v>
      </c>
      <c r="AQ9" s="72">
        <v>4389.7183664643089</v>
      </c>
      <c r="AR9" s="72">
        <v>31763.81</v>
      </c>
      <c r="AS9" s="72">
        <v>96281.832022292932</v>
      </c>
      <c r="AT9" s="72">
        <v>28122.11</v>
      </c>
      <c r="AU9" s="72">
        <v>3271.2701146556178</v>
      </c>
      <c r="AV9" s="72">
        <v>38249.058896089373</v>
      </c>
      <c r="AW9" s="72">
        <v>37911.397362866963</v>
      </c>
      <c r="AX9" s="72">
        <v>7242.747968187974</v>
      </c>
      <c r="AY9" s="72">
        <v>30427.114980674171</v>
      </c>
      <c r="AZ9" s="72">
        <v>3697.291151918088</v>
      </c>
      <c r="BA9" s="72">
        <f t="shared" si="0"/>
        <v>1423333.3182784554</v>
      </c>
      <c r="BB9" s="4">
        <f t="shared" si="1"/>
        <v>157214.31200000001</v>
      </c>
      <c r="BC9" s="4">
        <f t="shared" si="2"/>
        <v>116580.05884067155</v>
      </c>
      <c r="BD9" s="4">
        <f t="shared" si="3"/>
        <v>133635.74765873438</v>
      </c>
      <c r="BE9" s="4">
        <f t="shared" si="4"/>
        <v>149626.25899999999</v>
      </c>
      <c r="BF9" s="4">
        <f t="shared" si="5"/>
        <v>250602.90314067932</v>
      </c>
      <c r="BG9" s="4">
        <f t="shared" si="6"/>
        <v>89498.487412102535</v>
      </c>
      <c r="BH9" s="4">
        <f t="shared" si="7"/>
        <v>69998.410266825013</v>
      </c>
      <c r="BI9" s="4">
        <f t="shared" si="8"/>
        <v>192533.48508138335</v>
      </c>
      <c r="BJ9" s="73">
        <f t="shared" si="9"/>
        <v>263643.65487805894</v>
      </c>
    </row>
    <row r="10" spans="1:62">
      <c r="A10" s="1">
        <v>2028</v>
      </c>
      <c r="B10" s="72">
        <v>21500.196263467784</v>
      </c>
      <c r="C10" s="72">
        <v>1711.4478545924378</v>
      </c>
      <c r="D10" s="72">
        <v>21401.254999999997</v>
      </c>
      <c r="E10" s="72">
        <v>11620.57</v>
      </c>
      <c r="F10" s="72">
        <v>92346.800999999992</v>
      </c>
      <c r="G10" s="72">
        <v>30024.805263199563</v>
      </c>
      <c r="H10" s="72">
        <v>16525.407531400066</v>
      </c>
      <c r="I10" s="72">
        <v>3482.7740317617236</v>
      </c>
      <c r="J10" s="72">
        <v>2728.1803171556635</v>
      </c>
      <c r="K10" s="72">
        <v>63365.574999999997</v>
      </c>
      <c r="L10" s="72">
        <v>47811.373736532216</v>
      </c>
      <c r="M10" s="72">
        <v>2620.941145407563</v>
      </c>
      <c r="N10" s="72">
        <v>10285.95228500273</v>
      </c>
      <c r="O10" s="72">
        <v>56095.286480642608</v>
      </c>
      <c r="P10" s="72">
        <v>36446.359586357248</v>
      </c>
      <c r="Q10" s="72">
        <v>23837.78</v>
      </c>
      <c r="R10" s="72">
        <v>16995.311270932452</v>
      </c>
      <c r="S10" s="72">
        <v>24023.539872417274</v>
      </c>
      <c r="T10" s="72">
        <v>21735.65</v>
      </c>
      <c r="U10" s="72">
        <v>5859.4607629807451</v>
      </c>
      <c r="V10" s="72">
        <v>24032.868064186841</v>
      </c>
      <c r="W10" s="72">
        <v>33074.440824137462</v>
      </c>
      <c r="X10" s="72">
        <v>45845.78</v>
      </c>
      <c r="Y10" s="72">
        <v>40744.772421769274</v>
      </c>
      <c r="Z10" s="72">
        <v>11078.2</v>
      </c>
      <c r="AA10" s="72">
        <v>36897.155868478148</v>
      </c>
      <c r="AB10" s="72">
        <v>1465.9002010135027</v>
      </c>
      <c r="AC10" s="72">
        <v>10854.04401992267</v>
      </c>
      <c r="AD10" s="72">
        <v>9549.4419999999991</v>
      </c>
      <c r="AE10" s="72">
        <v>5955.4203252011303</v>
      </c>
      <c r="AF10" s="72">
        <v>32652.963010541975</v>
      </c>
      <c r="AG10" s="72">
        <v>5123.2759999999998</v>
      </c>
      <c r="AH10" s="72">
        <v>83725.257757673244</v>
      </c>
      <c r="AI10" s="72">
        <v>46350.327218301449</v>
      </c>
      <c r="AJ10" s="72">
        <v>5027.7254153710055</v>
      </c>
      <c r="AK10" s="72">
        <v>65782.19615873025</v>
      </c>
      <c r="AL10" s="72">
        <v>17271.800399799151</v>
      </c>
      <c r="AM10" s="72">
        <v>18940.537863433976</v>
      </c>
      <c r="AN10" s="72">
        <v>68650.799136083049</v>
      </c>
      <c r="AO10" s="72">
        <v>4340.9150246599147</v>
      </c>
      <c r="AP10" s="72">
        <v>21388.252781698546</v>
      </c>
      <c r="AQ10" s="72">
        <v>4491.47678999461</v>
      </c>
      <c r="AR10" s="72">
        <v>30392.18</v>
      </c>
      <c r="AS10" s="72">
        <v>93127.815600200862</v>
      </c>
      <c r="AT10" s="72">
        <v>25258.1</v>
      </c>
      <c r="AU10" s="72">
        <v>3015.9613029249549</v>
      </c>
      <c r="AV10" s="72">
        <v>34592.432180441836</v>
      </c>
      <c r="AW10" s="72">
        <v>39830.782136566027</v>
      </c>
      <c r="AX10" s="72">
        <v>6636.8724801706267</v>
      </c>
      <c r="AY10" s="72">
        <v>27468.78211538446</v>
      </c>
      <c r="AZ10" s="72">
        <v>3452.2847368004323</v>
      </c>
      <c r="BA10" s="72">
        <f t="shared" si="0"/>
        <v>1367437.4292353352</v>
      </c>
      <c r="BB10" s="4">
        <f t="shared" si="1"/>
        <v>155450.50999999998</v>
      </c>
      <c r="BC10" s="4">
        <f t="shared" si="2"/>
        <v>106561.01548601621</v>
      </c>
      <c r="BD10" s="4">
        <f t="shared" si="3"/>
        <v>138848.26578646814</v>
      </c>
      <c r="BE10" s="4">
        <f t="shared" si="4"/>
        <v>143755.83600000001</v>
      </c>
      <c r="BF10" s="4">
        <f t="shared" si="5"/>
        <v>231638.40434111457</v>
      </c>
      <c r="BG10" s="4">
        <f t="shared" si="6"/>
        <v>86994.116135885066</v>
      </c>
      <c r="BH10" s="4">
        <f t="shared" si="7"/>
        <v>68771.605771304268</v>
      </c>
      <c r="BI10" s="4">
        <f t="shared" si="8"/>
        <v>185029.01990429827</v>
      </c>
      <c r="BJ10" s="73">
        <f t="shared" si="9"/>
        <v>250388.65581024889</v>
      </c>
    </row>
    <row r="11" spans="1:62">
      <c r="A11" s="1">
        <v>2029</v>
      </c>
      <c r="B11" s="72">
        <v>21697.643604168563</v>
      </c>
      <c r="C11" s="72">
        <v>1946.5154093355934</v>
      </c>
      <c r="D11" s="72">
        <v>20947.178</v>
      </c>
      <c r="E11" s="72">
        <v>11398.68</v>
      </c>
      <c r="F11" s="72">
        <v>90142.203999999998</v>
      </c>
      <c r="G11" s="72">
        <v>29477.125542002839</v>
      </c>
      <c r="H11" s="72">
        <v>15784.629424385166</v>
      </c>
      <c r="I11" s="72">
        <v>3576.5390363813322</v>
      </c>
      <c r="J11" s="72">
        <v>2761.9004823519849</v>
      </c>
      <c r="K11" s="72">
        <v>62530.844000000005</v>
      </c>
      <c r="L11" s="72">
        <v>43854.206395831439</v>
      </c>
      <c r="M11" s="72">
        <v>3058.398590664407</v>
      </c>
      <c r="N11" s="72">
        <v>11417.44738925988</v>
      </c>
      <c r="O11" s="72">
        <v>54795.66961118373</v>
      </c>
      <c r="P11" s="72">
        <v>33180.892645810069</v>
      </c>
      <c r="Q11" s="72">
        <v>18604.14</v>
      </c>
      <c r="R11" s="72">
        <v>16413.97964876653</v>
      </c>
      <c r="S11" s="72">
        <v>21898.563971176794</v>
      </c>
      <c r="T11" s="72">
        <v>21489.759999999998</v>
      </c>
      <c r="U11" s="72">
        <v>6241.5305507621288</v>
      </c>
      <c r="V11" s="72">
        <v>25216.488307762691</v>
      </c>
      <c r="W11" s="72">
        <v>31890.032426830265</v>
      </c>
      <c r="X11" s="72">
        <v>46653.19</v>
      </c>
      <c r="Y11" s="72">
        <v>37375.160166093119</v>
      </c>
      <c r="Z11" s="72">
        <v>10248.719999999999</v>
      </c>
      <c r="AA11" s="72">
        <v>37146.172222275258</v>
      </c>
      <c r="AB11" s="72">
        <v>1598.8332358448665</v>
      </c>
      <c r="AC11" s="72">
        <v>10339.128252469423</v>
      </c>
      <c r="AD11" s="72">
        <v>7787.6970000000001</v>
      </c>
      <c r="AE11" s="72">
        <v>6068.7708223053241</v>
      </c>
      <c r="AF11" s="72">
        <v>31592.873137110899</v>
      </c>
      <c r="AG11" s="72">
        <v>5367.0940000000001</v>
      </c>
      <c r="AH11" s="72">
        <v>78690.020474982652</v>
      </c>
      <c r="AI11" s="72">
        <v>44014.614727734413</v>
      </c>
      <c r="AJ11" s="72">
        <v>5057.6436033591481</v>
      </c>
      <c r="AK11" s="72">
        <v>61916.432162437733</v>
      </c>
      <c r="AL11" s="72">
        <v>18006.049585269968</v>
      </c>
      <c r="AM11" s="72">
        <v>16521.246252620433</v>
      </c>
      <c r="AN11" s="72">
        <v>66248.371731629246</v>
      </c>
      <c r="AO11" s="72">
        <v>4216.0897662580956</v>
      </c>
      <c r="AP11" s="72">
        <v>19709.785272265584</v>
      </c>
      <c r="AQ11" s="72">
        <v>4348.001639501359</v>
      </c>
      <c r="AR11" s="72">
        <v>29233.18</v>
      </c>
      <c r="AS11" s="72">
        <v>83737.531414730023</v>
      </c>
      <c r="AT11" s="72">
        <v>23550.05</v>
      </c>
      <c r="AU11" s="72">
        <v>3146.356602907817</v>
      </c>
      <c r="AV11" s="72">
        <v>36521.315228873085</v>
      </c>
      <c r="AW11" s="72">
        <v>35002.19374737957</v>
      </c>
      <c r="AX11" s="72">
        <v>6966.9157091348106</v>
      </c>
      <c r="AY11" s="72">
        <v>30844.956076926828</v>
      </c>
      <c r="AZ11" s="72">
        <v>3429.4544579971598</v>
      </c>
    </row>
  </sheetData>
  <sheetProtection algorithmName="SHA-512" hashValue="sfg78H+HFMPm0BXoWxhVAVCa72zuCewlMC2MINh1CgekS9n49iRFfMkq5gcYTk/1caLVeq4ZlI5NFIAnsn+TPg==" saltValue="pfseM/1XV211iY+qPpZCmQ==" spinCount="100000" sheet="1" objects="1" scenarios="1" selectLockedCells="1" selectUnlockedCells="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F30F-91CC-4DCC-84C1-65B8F92B72B9}">
  <sheetPr codeName="Sheet24"/>
  <dimension ref="A1:BJ11"/>
  <sheetViews>
    <sheetView topLeftCell="AA1" workbookViewId="0">
      <selection activeCell="BA1" sqref="BA1:BJ1"/>
    </sheetView>
  </sheetViews>
  <sheetFormatPr defaultRowHeight="15"/>
  <sheetData>
    <row r="1" spans="1:62">
      <c r="B1" s="1" t="s">
        <v>1</v>
      </c>
      <c r="C1" s="1" t="s">
        <v>107</v>
      </c>
      <c r="D1" s="1" t="s">
        <v>98</v>
      </c>
      <c r="E1" s="1" t="s">
        <v>93</v>
      </c>
      <c r="F1" s="1" t="s">
        <v>109</v>
      </c>
      <c r="G1" s="1" t="s">
        <v>100</v>
      </c>
      <c r="H1" s="1" t="s">
        <v>54</v>
      </c>
      <c r="I1" s="1" t="s">
        <v>79</v>
      </c>
      <c r="J1" s="16" t="s">
        <v>87</v>
      </c>
      <c r="K1" s="1" t="s">
        <v>81</v>
      </c>
      <c r="L1" s="1" t="s">
        <v>82</v>
      </c>
      <c r="M1" s="1" t="s">
        <v>110</v>
      </c>
      <c r="N1" s="1" t="s">
        <v>101</v>
      </c>
      <c r="O1" s="1" t="s">
        <v>65</v>
      </c>
      <c r="P1" s="1" t="s">
        <v>67</v>
      </c>
      <c r="Q1" s="1" t="s">
        <v>71</v>
      </c>
      <c r="R1" s="1" t="s">
        <v>73</v>
      </c>
      <c r="S1" s="1" t="s">
        <v>90</v>
      </c>
      <c r="T1" s="1" t="s">
        <v>95</v>
      </c>
      <c r="U1" s="1" t="s">
        <v>56</v>
      </c>
      <c r="V1" s="1" t="s">
        <v>83</v>
      </c>
      <c r="W1" s="1" t="s">
        <v>57</v>
      </c>
      <c r="X1" s="1" t="s">
        <v>68</v>
      </c>
      <c r="Y1" s="1" t="s">
        <v>74</v>
      </c>
      <c r="Z1" s="1" t="s">
        <v>91</v>
      </c>
      <c r="AA1" s="1" t="s">
        <v>75</v>
      </c>
      <c r="AB1" s="1" t="s">
        <v>102</v>
      </c>
      <c r="AC1" s="1" t="s">
        <v>76</v>
      </c>
      <c r="AD1" s="1" t="s">
        <v>103</v>
      </c>
      <c r="AE1" s="1" t="s">
        <v>58</v>
      </c>
      <c r="AF1" s="1" t="s">
        <v>61</v>
      </c>
      <c r="AG1" s="1" t="s">
        <v>104</v>
      </c>
      <c r="AH1" s="1" t="s">
        <v>63</v>
      </c>
      <c r="AI1" s="1" t="s">
        <v>84</v>
      </c>
      <c r="AJ1" s="1" t="s">
        <v>77</v>
      </c>
      <c r="AK1" s="1" t="s">
        <v>69</v>
      </c>
      <c r="AL1" s="1" t="s">
        <v>96</v>
      </c>
      <c r="AM1" s="1" t="s">
        <v>111</v>
      </c>
      <c r="AN1" s="1" t="s">
        <v>64</v>
      </c>
      <c r="AO1" s="1" t="s">
        <v>59</v>
      </c>
      <c r="AP1" s="1" t="s">
        <v>85</v>
      </c>
      <c r="AQ1" s="1" t="s">
        <v>78</v>
      </c>
      <c r="AR1" s="1" t="s">
        <v>92</v>
      </c>
      <c r="AS1" s="1" t="s">
        <v>97</v>
      </c>
      <c r="AT1" s="1" t="s">
        <v>105</v>
      </c>
      <c r="AU1" s="1" t="s">
        <v>60</v>
      </c>
      <c r="AV1" s="1" t="s">
        <v>86</v>
      </c>
      <c r="AW1" s="1" t="s">
        <v>112</v>
      </c>
      <c r="AX1" s="1" t="s">
        <v>88</v>
      </c>
      <c r="AY1" s="1" t="s">
        <v>70</v>
      </c>
      <c r="AZ1" s="1" t="s">
        <v>106</v>
      </c>
      <c r="BA1" s="1" t="s">
        <v>40</v>
      </c>
      <c r="BB1" s="1" t="s">
        <v>108</v>
      </c>
      <c r="BC1" s="1" t="s">
        <v>99</v>
      </c>
      <c r="BD1" s="1" t="s">
        <v>72</v>
      </c>
      <c r="BE1" s="1" t="s">
        <v>94</v>
      </c>
      <c r="BF1" s="1" t="s">
        <v>66</v>
      </c>
      <c r="BG1" s="1" t="s">
        <v>89</v>
      </c>
      <c r="BH1" s="1" t="s">
        <v>55</v>
      </c>
      <c r="BI1" s="1" t="s">
        <v>62</v>
      </c>
      <c r="BJ1" s="1" t="s">
        <v>80</v>
      </c>
    </row>
    <row r="2" spans="1:62">
      <c r="A2" s="1">
        <v>2020</v>
      </c>
      <c r="B2" s="72">
        <v>7439.6850341512636</v>
      </c>
      <c r="C2" s="72">
        <v>172.19755802345034</v>
      </c>
      <c r="D2" s="72">
        <v>2890.9767000000002</v>
      </c>
      <c r="E2" s="72">
        <v>2751.2429999999999</v>
      </c>
      <c r="F2" s="72">
        <v>17828.860999999997</v>
      </c>
      <c r="G2" s="72">
        <v>2301.8934463091405</v>
      </c>
      <c r="H2" s="72">
        <v>2705.2397007736022</v>
      </c>
      <c r="I2" s="72">
        <v>1424.7877476629628</v>
      </c>
      <c r="J2" s="72">
        <v>1251.0364647300521</v>
      </c>
      <c r="K2" s="72">
        <v>21359.025000000001</v>
      </c>
      <c r="L2" s="72">
        <v>22974.165965848737</v>
      </c>
      <c r="M2" s="72">
        <v>267.67674197654969</v>
      </c>
      <c r="N2" s="72">
        <v>194.54942183913781</v>
      </c>
      <c r="O2" s="72">
        <v>14043.741032601563</v>
      </c>
      <c r="P2" s="72">
        <v>4998.4653244234123</v>
      </c>
      <c r="Q2" s="72">
        <v>1092.558</v>
      </c>
      <c r="R2" s="72">
        <v>1585.3807961571979</v>
      </c>
      <c r="S2" s="72">
        <v>2783.0959551986934</v>
      </c>
      <c r="T2" s="72">
        <v>12154.51</v>
      </c>
      <c r="U2" s="72">
        <v>381.4126267458347</v>
      </c>
      <c r="V2" s="72">
        <v>9436.7883966493282</v>
      </c>
      <c r="W2" s="72">
        <v>4921.1142428108378</v>
      </c>
      <c r="X2" s="72">
        <v>10563.813999999998</v>
      </c>
      <c r="Y2" s="72">
        <v>3799.2355563128917</v>
      </c>
      <c r="Z2" s="72">
        <v>8250.0709999999999</v>
      </c>
      <c r="AA2" s="72">
        <v>5462.6272213020547</v>
      </c>
      <c r="AB2" s="72">
        <v>26.875130273004856</v>
      </c>
      <c r="AC2" s="72">
        <v>1041.3092610630536</v>
      </c>
      <c r="AD2" s="72">
        <v>2749.5880000000002</v>
      </c>
      <c r="AE2" s="72">
        <v>400.49903900758619</v>
      </c>
      <c r="AF2" s="72">
        <v>10699.168474942042</v>
      </c>
      <c r="AG2" s="72">
        <v>222.0489</v>
      </c>
      <c r="AH2" s="72">
        <v>18656.049200312224</v>
      </c>
      <c r="AI2" s="72">
        <v>15110.449075593822</v>
      </c>
      <c r="AJ2" s="72">
        <v>365.09973425144403</v>
      </c>
      <c r="AK2" s="72">
        <v>9614.5203633423771</v>
      </c>
      <c r="AL2" s="72">
        <v>2698.3960929014584</v>
      </c>
      <c r="AM2" s="72">
        <v>1093.9637013100983</v>
      </c>
      <c r="AN2" s="72">
        <v>12885.127256103333</v>
      </c>
      <c r="AO2" s="72">
        <v>689.74296155711727</v>
      </c>
      <c r="AP2" s="72">
        <v>8791.2049244061764</v>
      </c>
      <c r="AQ2" s="72">
        <v>383.8412243058404</v>
      </c>
      <c r="AR2" s="72">
        <v>9522.4189999999999</v>
      </c>
      <c r="AS2" s="72">
        <v>26043.236907098541</v>
      </c>
      <c r="AT2" s="72">
        <v>1242.405</v>
      </c>
      <c r="AU2" s="72">
        <v>188.50700236286198</v>
      </c>
      <c r="AV2" s="72">
        <v>13651.659895448091</v>
      </c>
      <c r="AW2" s="72">
        <v>2118.3654986899019</v>
      </c>
      <c r="AX2" s="72">
        <v>2682.6597506224134</v>
      </c>
      <c r="AY2" s="72">
        <v>3302.4195310414711</v>
      </c>
      <c r="AZ2" s="72">
        <v>240.54555369085952</v>
      </c>
      <c r="BA2" s="72">
        <f>SUM(B2:AZ2)</f>
        <v>307454.25341184036</v>
      </c>
      <c r="BB2" s="4">
        <f>C2+F2+M2+AM2+AW2</f>
        <v>21481.064499999997</v>
      </c>
      <c r="BC2" s="4">
        <f>D2+G2+N2+AB2+AD2+AG2+AT2+AZ2</f>
        <v>9868.8821521121426</v>
      </c>
      <c r="BD2" s="4">
        <f>Q2+R2+Y2+AA2+AC2+AJ2+AQ2</f>
        <v>13730.051793392482</v>
      </c>
      <c r="BE2" s="4">
        <f>E2+T2+AL2+AS2</f>
        <v>43647.385999999999</v>
      </c>
      <c r="BF2" s="4">
        <f>O2+P2+X2+AK2+AY2</f>
        <v>42522.960251408826</v>
      </c>
      <c r="BG2" s="4">
        <f>B2+S2+Z2+AR2</f>
        <v>27995.270989349956</v>
      </c>
      <c r="BH2" s="4">
        <f>H2+U2+W2+AE2+AO2+AU2</f>
        <v>9286.5155732578387</v>
      </c>
      <c r="BI2" s="4">
        <f>AF2+AH2+AN2</f>
        <v>42240.344931357598</v>
      </c>
      <c r="BJ2" s="73">
        <f>I2+K2+J2+L2+V2+AI2+AP2+AV2+AX2</f>
        <v>96681.77722096158</v>
      </c>
    </row>
    <row r="3" spans="1:62">
      <c r="A3" s="1">
        <v>2021</v>
      </c>
      <c r="B3" s="72">
        <v>9244.7015702449244</v>
      </c>
      <c r="C3" s="72">
        <v>264.4166549087339</v>
      </c>
      <c r="D3" s="72">
        <v>2408.1742999999997</v>
      </c>
      <c r="E3" s="72">
        <v>3336.5889999999999</v>
      </c>
      <c r="F3" s="72">
        <v>16835.032999999999</v>
      </c>
      <c r="G3" s="72">
        <v>2824.9165154857515</v>
      </c>
      <c r="H3" s="72">
        <v>2734.0240102920434</v>
      </c>
      <c r="I3" s="72">
        <v>1246.7098487563171</v>
      </c>
      <c r="J3" s="72">
        <v>1168.8878289937534</v>
      </c>
      <c r="K3" s="72">
        <v>22661.463000000003</v>
      </c>
      <c r="L3" s="72">
        <v>24211.769429755077</v>
      </c>
      <c r="M3" s="72">
        <v>413.01644509126606</v>
      </c>
      <c r="N3" s="72">
        <v>281.59598637632041</v>
      </c>
      <c r="O3" s="72">
        <v>13106.046572557319</v>
      </c>
      <c r="P3" s="72">
        <v>4604.8919786191682</v>
      </c>
      <c r="Q3" s="72">
        <v>1786.7149999999999</v>
      </c>
      <c r="R3" s="72">
        <v>1561.7750785569929</v>
      </c>
      <c r="S3" s="72">
        <v>3755.5555478294882</v>
      </c>
      <c r="T3" s="72">
        <v>9754.8829999999998</v>
      </c>
      <c r="U3" s="72">
        <v>392.94242806465888</v>
      </c>
      <c r="V3" s="72">
        <v>8480.7170172348669</v>
      </c>
      <c r="W3" s="72">
        <v>5092.491198010789</v>
      </c>
      <c r="X3" s="72">
        <v>8704.4429999999993</v>
      </c>
      <c r="Y3" s="72">
        <v>2688.4310030303182</v>
      </c>
      <c r="Z3" s="72">
        <v>6086.44</v>
      </c>
      <c r="AA3" s="72">
        <v>6385.4910379876583</v>
      </c>
      <c r="AB3" s="72">
        <v>39.081776027281279</v>
      </c>
      <c r="AC3" s="72">
        <v>1047.6129147889817</v>
      </c>
      <c r="AD3" s="72">
        <v>1554.721</v>
      </c>
      <c r="AE3" s="72">
        <v>407.31776660068613</v>
      </c>
      <c r="AF3" s="72">
        <v>11376.44191743557</v>
      </c>
      <c r="AG3" s="72">
        <v>400.3152</v>
      </c>
      <c r="AH3" s="72">
        <v>20391.017606474576</v>
      </c>
      <c r="AI3" s="72">
        <v>15707.190205628611</v>
      </c>
      <c r="AJ3" s="72">
        <v>381.98733995942462</v>
      </c>
      <c r="AK3" s="72">
        <v>10723.660531693949</v>
      </c>
      <c r="AL3" s="72">
        <v>2693.0073741181832</v>
      </c>
      <c r="AM3" s="72">
        <v>1126.1389812323712</v>
      </c>
      <c r="AN3" s="72">
        <v>11727.869660501085</v>
      </c>
      <c r="AO3" s="72">
        <v>731.41039927024576</v>
      </c>
      <c r="AP3" s="72">
        <v>8263.9027943713918</v>
      </c>
      <c r="AQ3" s="72">
        <v>387.9859413885315</v>
      </c>
      <c r="AR3" s="72">
        <v>8451.6959999999999</v>
      </c>
      <c r="AS3" s="72">
        <v>24204.026225881815</v>
      </c>
      <c r="AT3" s="72">
        <v>1327.423</v>
      </c>
      <c r="AU3" s="72">
        <v>193.52221519033276</v>
      </c>
      <c r="AV3" s="72">
        <v>12289.385460821446</v>
      </c>
      <c r="AW3" s="72">
        <v>2185.9114187676287</v>
      </c>
      <c r="AX3" s="72">
        <v>2398.7614650876308</v>
      </c>
      <c r="AY3" s="72">
        <v>3320.8537535881655</v>
      </c>
      <c r="AZ3" s="72">
        <v>294.78348451424847</v>
      </c>
      <c r="BA3" s="72">
        <f t="shared" ref="BA3:BA10" si="0">SUM(B3:AZ3)</f>
        <v>301658.14488513762</v>
      </c>
      <c r="BB3" s="4">
        <f t="shared" ref="BB3:BB10" si="1">C3+F3+M3+AM3+AW3</f>
        <v>20824.516500000002</v>
      </c>
      <c r="BC3" s="4">
        <f t="shared" ref="BC3:BC10" si="2">D3+G3+N3+AB3+AD3+AG3+AT3+AZ3</f>
        <v>9131.011262403601</v>
      </c>
      <c r="BD3" s="4">
        <f t="shared" ref="BD3:BD10" si="3">Q3+R3+Y3+AA3+AC3+AJ3+AQ3</f>
        <v>14239.998315711908</v>
      </c>
      <c r="BE3" s="4">
        <f t="shared" ref="BE3:BE10" si="4">E3+T3+AL3+AS3</f>
        <v>39988.505599999997</v>
      </c>
      <c r="BF3" s="4">
        <f t="shared" ref="BF3:BF10" si="5">O3+P3+X3+AK3+AY3</f>
        <v>40459.8958364586</v>
      </c>
      <c r="BG3" s="4">
        <f t="shared" ref="BG3:BG10" si="6">B3+S3+Z3+AR3</f>
        <v>27538.393118074411</v>
      </c>
      <c r="BH3" s="4">
        <f t="shared" ref="BH3:BH10" si="7">H3+U3+W3+AE3+AO3+AU3</f>
        <v>9551.7080174287566</v>
      </c>
      <c r="BI3" s="4">
        <f t="shared" ref="BI3:BI10" si="8">AF3+AH3+AN3</f>
        <v>43495.329184411232</v>
      </c>
      <c r="BJ3" s="73">
        <f t="shared" ref="BJ3:BJ10" si="9">I3+K3+J3+L3+V3+AI3+AP3+AV3+AX3</f>
        <v>96428.787050649087</v>
      </c>
    </row>
    <row r="4" spans="1:62">
      <c r="A4" s="1">
        <v>2022</v>
      </c>
      <c r="B4" s="72">
        <v>7198.1588927357434</v>
      </c>
      <c r="C4" s="72">
        <v>179.37764227521697</v>
      </c>
      <c r="D4" s="72">
        <v>3551.5264999999999</v>
      </c>
      <c r="E4" s="72">
        <v>2556.65</v>
      </c>
      <c r="F4" s="72">
        <v>16244.236799999999</v>
      </c>
      <c r="G4" s="72">
        <v>2030.3588593770514</v>
      </c>
      <c r="H4" s="72">
        <v>2557.391021545991</v>
      </c>
      <c r="I4" s="72">
        <v>1404.9560719021638</v>
      </c>
      <c r="J4" s="72">
        <v>1413.1463656401759</v>
      </c>
      <c r="K4" s="72">
        <v>23716.973000000002</v>
      </c>
      <c r="L4" s="72">
        <v>23425.446107264259</v>
      </c>
      <c r="M4" s="72">
        <v>287.57265772478308</v>
      </c>
      <c r="N4" s="72">
        <v>202.42916443322491</v>
      </c>
      <c r="O4" s="72">
        <v>15918.056239465315</v>
      </c>
      <c r="P4" s="72">
        <v>6005.4316609786792</v>
      </c>
      <c r="Q4" s="72">
        <v>955.0933</v>
      </c>
      <c r="R4" s="72">
        <v>1877.7148213424357</v>
      </c>
      <c r="S4" s="72">
        <v>2736.5974082322696</v>
      </c>
      <c r="T4" s="72">
        <v>10359.1</v>
      </c>
      <c r="U4" s="72">
        <v>312.06265780932722</v>
      </c>
      <c r="V4" s="72">
        <v>9482.1199632566731</v>
      </c>
      <c r="W4" s="72">
        <v>4737.0930657790286</v>
      </c>
      <c r="X4" s="72">
        <v>10267.628000000001</v>
      </c>
      <c r="Y4" s="72">
        <v>2656.972719822978</v>
      </c>
      <c r="Z4" s="72">
        <v>6298.8890000000001</v>
      </c>
      <c r="AA4" s="72">
        <v>5950.5141007487427</v>
      </c>
      <c r="AB4" s="72">
        <v>27.852283329021326</v>
      </c>
      <c r="AC4" s="72">
        <v>1239.6501535675343</v>
      </c>
      <c r="AD4" s="72">
        <v>854.91020000000003</v>
      </c>
      <c r="AE4" s="72">
        <v>318.00661985606644</v>
      </c>
      <c r="AF4" s="72">
        <v>11503.118544703853</v>
      </c>
      <c r="AG4" s="72">
        <v>426.32240000000002</v>
      </c>
      <c r="AH4" s="72">
        <v>20944.691521174434</v>
      </c>
      <c r="AI4" s="72">
        <v>15009.202706702374</v>
      </c>
      <c r="AJ4" s="72">
        <v>461.83323550207456</v>
      </c>
      <c r="AK4" s="72">
        <v>11880.339471754363</v>
      </c>
      <c r="AL4" s="72">
        <v>1971.5396110767758</v>
      </c>
      <c r="AM4" s="72">
        <v>1412.2424417081729</v>
      </c>
      <c r="AN4" s="72">
        <v>10587.394878080855</v>
      </c>
      <c r="AO4" s="72">
        <v>670.96976545488269</v>
      </c>
      <c r="AP4" s="72">
        <v>8230.0502932976269</v>
      </c>
      <c r="AQ4" s="72">
        <v>484.96883263653535</v>
      </c>
      <c r="AR4" s="72">
        <v>7186.8609999999999</v>
      </c>
      <c r="AS4" s="72">
        <v>27125.489188923224</v>
      </c>
      <c r="AT4" s="72">
        <v>1246.6120000000001</v>
      </c>
      <c r="AU4" s="72">
        <v>156.32701752966022</v>
      </c>
      <c r="AV4" s="72">
        <v>13622.869759199539</v>
      </c>
      <c r="AW4" s="72">
        <v>2770.0552582918276</v>
      </c>
      <c r="AX4" s="72">
        <v>2619.5101307987302</v>
      </c>
      <c r="AY4" s="72">
        <v>3015.72825594907</v>
      </c>
      <c r="AZ4" s="72">
        <v>219.14114062294868</v>
      </c>
      <c r="BA4" s="72">
        <f t="shared" si="0"/>
        <v>306311.1827304936</v>
      </c>
      <c r="BB4" s="4">
        <f t="shared" si="1"/>
        <v>20893.484800000002</v>
      </c>
      <c r="BC4" s="4">
        <f t="shared" si="2"/>
        <v>8559.1525477622472</v>
      </c>
      <c r="BD4" s="4">
        <f t="shared" si="3"/>
        <v>13626.747163620299</v>
      </c>
      <c r="BE4" s="4">
        <f t="shared" si="4"/>
        <v>42012.7788</v>
      </c>
      <c r="BF4" s="4">
        <f t="shared" si="5"/>
        <v>47087.183628147424</v>
      </c>
      <c r="BG4" s="4">
        <f t="shared" si="6"/>
        <v>23420.506300968013</v>
      </c>
      <c r="BH4" s="4">
        <f t="shared" si="7"/>
        <v>8751.8501479749557</v>
      </c>
      <c r="BI4" s="4">
        <f t="shared" si="8"/>
        <v>43035.204943959143</v>
      </c>
      <c r="BJ4" s="73">
        <f t="shared" si="9"/>
        <v>98924.274398061549</v>
      </c>
    </row>
    <row r="5" spans="1:62">
      <c r="A5" s="1">
        <v>2023</v>
      </c>
      <c r="B5" s="72">
        <v>8665.5493969923227</v>
      </c>
      <c r="C5" s="72">
        <v>316.62288102671425</v>
      </c>
      <c r="D5" s="72">
        <v>2401.4839999999999</v>
      </c>
      <c r="E5" s="72">
        <v>3609.6</v>
      </c>
      <c r="F5" s="72">
        <v>16364.408100000001</v>
      </c>
      <c r="G5" s="72">
        <v>2409.2661816467476</v>
      </c>
      <c r="H5" s="72">
        <v>2525.9193452664076</v>
      </c>
      <c r="I5" s="72">
        <v>1202.3947325963354</v>
      </c>
      <c r="J5" s="72">
        <v>1141.2264357761974</v>
      </c>
      <c r="K5" s="72">
        <v>23002.371000000003</v>
      </c>
      <c r="L5" s="72">
        <v>21708.702603007681</v>
      </c>
      <c r="M5" s="72">
        <v>503.70891897328585</v>
      </c>
      <c r="N5" s="72">
        <v>518.94694583410148</v>
      </c>
      <c r="O5" s="72">
        <v>14675.285235727526</v>
      </c>
      <c r="P5" s="72">
        <v>5749.8369575123588</v>
      </c>
      <c r="Q5" s="72">
        <v>1059.6969999999999</v>
      </c>
      <c r="R5" s="72">
        <v>1568.9019282047964</v>
      </c>
      <c r="S5" s="72">
        <v>2774.0231149709289</v>
      </c>
      <c r="T5" s="72">
        <v>10277.32</v>
      </c>
      <c r="U5" s="72">
        <v>384.70897701809417</v>
      </c>
      <c r="V5" s="72">
        <v>8108.6580228353077</v>
      </c>
      <c r="W5" s="72">
        <v>4827.9325678510331</v>
      </c>
      <c r="X5" s="72">
        <v>9694.5120000000006</v>
      </c>
      <c r="Y5" s="72">
        <v>4677.8173176102655</v>
      </c>
      <c r="Z5" s="72">
        <v>6454.1760000000004</v>
      </c>
      <c r="AA5" s="72">
        <v>6566.6525142082346</v>
      </c>
      <c r="AB5" s="72">
        <v>74.198791439043319</v>
      </c>
      <c r="AC5" s="72">
        <v>1034.8189062951715</v>
      </c>
      <c r="AD5" s="72">
        <v>1141.9259999999999</v>
      </c>
      <c r="AE5" s="72">
        <v>396.27442376990257</v>
      </c>
      <c r="AF5" s="72">
        <v>11715.97271422933</v>
      </c>
      <c r="AG5" s="72">
        <v>460.86180000000002</v>
      </c>
      <c r="AH5" s="72">
        <v>21748.811458371041</v>
      </c>
      <c r="AI5" s="72">
        <v>12912.234214109698</v>
      </c>
      <c r="AJ5" s="72">
        <v>413.4676193781159</v>
      </c>
      <c r="AK5" s="72">
        <v>10490.789348807102</v>
      </c>
      <c r="AL5" s="72">
        <v>2752.5518006608754</v>
      </c>
      <c r="AM5" s="72">
        <v>1385.3837292005269</v>
      </c>
      <c r="AN5" s="72">
        <v>10530.894191539532</v>
      </c>
      <c r="AO5" s="72">
        <v>674.60365752814187</v>
      </c>
      <c r="AP5" s="72">
        <v>9520.7977858903014</v>
      </c>
      <c r="AQ5" s="72">
        <v>403.08457935821434</v>
      </c>
      <c r="AR5" s="72">
        <v>6816.9390000000003</v>
      </c>
      <c r="AS5" s="72">
        <v>27790.822499339127</v>
      </c>
      <c r="AT5" s="72">
        <v>1035.924</v>
      </c>
      <c r="AU5" s="72">
        <v>188.01227782394795</v>
      </c>
      <c r="AV5" s="72">
        <v>11555.55859897568</v>
      </c>
      <c r="AW5" s="72">
        <v>2702.7800707994729</v>
      </c>
      <c r="AX5" s="72">
        <v>2166.0340237879018</v>
      </c>
      <c r="AY5" s="72">
        <v>4970.1314779272871</v>
      </c>
      <c r="AZ5" s="72">
        <v>262.71311835325218</v>
      </c>
      <c r="BA5" s="72">
        <f t="shared" si="0"/>
        <v>304335.30826464196</v>
      </c>
      <c r="BB5" s="4">
        <f t="shared" si="1"/>
        <v>21272.903699999999</v>
      </c>
      <c r="BC5" s="4">
        <f t="shared" si="2"/>
        <v>8305.3208372731442</v>
      </c>
      <c r="BD5" s="4">
        <f t="shared" si="3"/>
        <v>15724.439865054797</v>
      </c>
      <c r="BE5" s="4">
        <f t="shared" si="4"/>
        <v>44430.294300000001</v>
      </c>
      <c r="BF5" s="4">
        <f t="shared" si="5"/>
        <v>45580.555019974279</v>
      </c>
      <c r="BG5" s="4">
        <f t="shared" si="6"/>
        <v>24710.687511963253</v>
      </c>
      <c r="BH5" s="4">
        <f t="shared" si="7"/>
        <v>8997.4512492575268</v>
      </c>
      <c r="BI5" s="4">
        <f t="shared" si="8"/>
        <v>43995.678364139902</v>
      </c>
      <c r="BJ5" s="73">
        <f t="shared" si="9"/>
        <v>91317.977416979105</v>
      </c>
    </row>
    <row r="6" spans="1:62">
      <c r="A6" s="1">
        <v>2024</v>
      </c>
      <c r="B6" s="72">
        <v>8726.3140806397769</v>
      </c>
      <c r="C6" s="72">
        <v>339.39648786558593</v>
      </c>
      <c r="D6" s="72">
        <v>2411.0160000000001</v>
      </c>
      <c r="E6" s="72">
        <v>2351.605</v>
      </c>
      <c r="F6" s="72">
        <v>16545.729499999998</v>
      </c>
      <c r="G6" s="72">
        <v>2477.7129145160075</v>
      </c>
      <c r="H6" s="72">
        <v>2491.4729314136266</v>
      </c>
      <c r="I6" s="72">
        <v>1448.5575297990672</v>
      </c>
      <c r="J6" s="72">
        <v>1450.7717279189417</v>
      </c>
      <c r="K6" s="72">
        <v>23913.455999999998</v>
      </c>
      <c r="L6" s="72">
        <v>23595.159919360223</v>
      </c>
      <c r="M6" s="72">
        <v>554.14601213441415</v>
      </c>
      <c r="N6" s="72">
        <v>304.75094865810092</v>
      </c>
      <c r="O6" s="72">
        <v>13036.213660554902</v>
      </c>
      <c r="P6" s="72">
        <v>5769.4104839309484</v>
      </c>
      <c r="Q6" s="72">
        <v>1233.962</v>
      </c>
      <c r="R6" s="72">
        <v>1576.8636278956837</v>
      </c>
      <c r="S6" s="72">
        <v>3264.7090768750386</v>
      </c>
      <c r="T6" s="72">
        <v>10849.47</v>
      </c>
      <c r="U6" s="72">
        <v>440.49425008902102</v>
      </c>
      <c r="V6" s="72">
        <v>10222.859945137898</v>
      </c>
      <c r="W6" s="72">
        <v>4802.1211681945961</v>
      </c>
      <c r="X6" s="72">
        <v>10301.805</v>
      </c>
      <c r="Y6" s="72">
        <v>3153.5460597131578</v>
      </c>
      <c r="Z6" s="72">
        <v>5793.8059999999996</v>
      </c>
      <c r="AA6" s="72">
        <v>6035.5956655182672</v>
      </c>
      <c r="AB6" s="72">
        <v>41.526666330125579</v>
      </c>
      <c r="AC6" s="72">
        <v>956.05467603981583</v>
      </c>
      <c r="AD6" s="72">
        <v>1674.271</v>
      </c>
      <c r="AE6" s="72">
        <v>443.36483310359461</v>
      </c>
      <c r="AF6" s="72">
        <v>10954.300891280571</v>
      </c>
      <c r="AG6" s="72">
        <v>656.74710000000005</v>
      </c>
      <c r="AH6" s="72">
        <v>20074.456973905748</v>
      </c>
      <c r="AI6" s="72">
        <v>14719.704078564188</v>
      </c>
      <c r="AJ6" s="72">
        <v>418.74922417220216</v>
      </c>
      <c r="AK6" s="72">
        <v>11564.511908399358</v>
      </c>
      <c r="AL6" s="72">
        <v>3615.4604827931857</v>
      </c>
      <c r="AM6" s="72">
        <v>988.01493349203736</v>
      </c>
      <c r="AN6" s="72">
        <v>11324.383017721118</v>
      </c>
      <c r="AO6" s="72">
        <v>674.06386618360386</v>
      </c>
      <c r="AP6" s="72">
        <v>10469.243921435813</v>
      </c>
      <c r="AQ6" s="72">
        <v>407.66617700486421</v>
      </c>
      <c r="AR6" s="72">
        <v>8567.2189999999991</v>
      </c>
      <c r="AS6" s="72">
        <v>25943.529817206814</v>
      </c>
      <c r="AT6" s="72">
        <v>1026.03</v>
      </c>
      <c r="AU6" s="72">
        <v>219.73380515084722</v>
      </c>
      <c r="AV6" s="72">
        <v>14450.826251928891</v>
      </c>
      <c r="AW6" s="72">
        <v>1943.5641665079625</v>
      </c>
      <c r="AX6" s="72">
        <v>2709.6048737837737</v>
      </c>
      <c r="AY6" s="72">
        <v>3139.3507398957609</v>
      </c>
      <c r="AZ6" s="72">
        <v>273.38868548399239</v>
      </c>
      <c r="BA6" s="72">
        <f t="shared" si="0"/>
        <v>310346.71308059955</v>
      </c>
      <c r="BB6" s="4">
        <f t="shared" si="1"/>
        <v>20370.8511</v>
      </c>
      <c r="BC6" s="4">
        <f t="shared" si="2"/>
        <v>8865.4433149882279</v>
      </c>
      <c r="BD6" s="4">
        <f t="shared" si="3"/>
        <v>13782.437430343993</v>
      </c>
      <c r="BE6" s="4">
        <f t="shared" si="4"/>
        <v>42760.065300000002</v>
      </c>
      <c r="BF6" s="4">
        <f t="shared" si="5"/>
        <v>43811.291792780969</v>
      </c>
      <c r="BG6" s="4">
        <f t="shared" si="6"/>
        <v>26352.048157514815</v>
      </c>
      <c r="BH6" s="4">
        <f t="shared" si="7"/>
        <v>9071.250854135289</v>
      </c>
      <c r="BI6" s="4">
        <f t="shared" si="8"/>
        <v>42353.140882907435</v>
      </c>
      <c r="BJ6" s="73">
        <f t="shared" si="9"/>
        <v>102980.18424792879</v>
      </c>
    </row>
    <row r="7" spans="1:62">
      <c r="A7" s="1">
        <v>2025</v>
      </c>
      <c r="B7" s="72">
        <v>9658.2116091156022</v>
      </c>
      <c r="C7" s="72">
        <v>287.62617625873389</v>
      </c>
      <c r="D7" s="72">
        <v>2670.4067</v>
      </c>
      <c r="E7" s="72">
        <v>3306.6030000000001</v>
      </c>
      <c r="F7" s="72">
        <v>14772.036</v>
      </c>
      <c r="G7" s="72">
        <v>2594.8708184775332</v>
      </c>
      <c r="H7" s="72">
        <v>2828.7326751675951</v>
      </c>
      <c r="I7" s="72">
        <v>1386.4157801258277</v>
      </c>
      <c r="J7" s="72">
        <v>1240.1413172078287</v>
      </c>
      <c r="K7" s="72">
        <v>24737.914000000004</v>
      </c>
      <c r="L7" s="72">
        <v>22300.6383908844</v>
      </c>
      <c r="M7" s="72">
        <v>449.54542374126606</v>
      </c>
      <c r="N7" s="72">
        <v>612.11467189071573</v>
      </c>
      <c r="O7" s="72">
        <v>15100.322903493467</v>
      </c>
      <c r="P7" s="72">
        <v>5676.1493587469204</v>
      </c>
      <c r="Q7" s="72">
        <v>1941.298</v>
      </c>
      <c r="R7" s="72">
        <v>1637.706105219213</v>
      </c>
      <c r="S7" s="72">
        <v>4299.9573794274829</v>
      </c>
      <c r="T7" s="72">
        <v>13140.17</v>
      </c>
      <c r="U7" s="72">
        <v>542.75454638213751</v>
      </c>
      <c r="V7" s="72">
        <v>9381.5674430211202</v>
      </c>
      <c r="W7" s="72">
        <v>5461.5221865411995</v>
      </c>
      <c r="X7" s="72">
        <v>9535.4830000000002</v>
      </c>
      <c r="Y7" s="72">
        <v>3649.6316405250823</v>
      </c>
      <c r="Z7" s="72">
        <v>8123.1109999999999</v>
      </c>
      <c r="AA7" s="72">
        <v>5855.8837170244924</v>
      </c>
      <c r="AB7" s="72">
        <v>84.08217582692987</v>
      </c>
      <c r="AC7" s="72">
        <v>1038.2540470996273</v>
      </c>
      <c r="AD7" s="72">
        <v>1169.067</v>
      </c>
      <c r="AE7" s="72">
        <v>547.53490465510481</v>
      </c>
      <c r="AF7" s="72">
        <v>11617.179383070195</v>
      </c>
      <c r="AG7" s="72">
        <v>627.84270000000004</v>
      </c>
      <c r="AH7" s="72">
        <v>20947.421364093272</v>
      </c>
      <c r="AI7" s="72">
        <v>13963.854166366176</v>
      </c>
      <c r="AJ7" s="72">
        <v>425.72714117885113</v>
      </c>
      <c r="AK7" s="72">
        <v>13287.779045718751</v>
      </c>
      <c r="AL7" s="72">
        <v>2752.252040886739</v>
      </c>
      <c r="AM7" s="72">
        <v>1334.6303551935059</v>
      </c>
      <c r="AN7" s="72">
        <v>12985.125679533225</v>
      </c>
      <c r="AO7" s="72">
        <v>746.64535186763135</v>
      </c>
      <c r="AP7" s="72">
        <v>9619.6248336338249</v>
      </c>
      <c r="AQ7" s="72">
        <v>416.7753242858808</v>
      </c>
      <c r="AR7" s="72">
        <v>8338.7369999999992</v>
      </c>
      <c r="AS7" s="72">
        <v>30910.975659113261</v>
      </c>
      <c r="AT7" s="72">
        <v>1065.79</v>
      </c>
      <c r="AU7" s="72">
        <v>271.04003890871377</v>
      </c>
      <c r="AV7" s="72">
        <v>13339.870899423147</v>
      </c>
      <c r="AW7" s="72">
        <v>2682.5045448064943</v>
      </c>
      <c r="AX7" s="72">
        <v>2551.6743107198695</v>
      </c>
      <c r="AY7" s="72">
        <v>3833.8943372802319</v>
      </c>
      <c r="AZ7" s="72">
        <v>303.93618152246677</v>
      </c>
      <c r="BA7" s="72">
        <f t="shared" si="0"/>
        <v>326053.03232843452</v>
      </c>
      <c r="BB7" s="4">
        <f t="shared" si="1"/>
        <v>19526.342500000002</v>
      </c>
      <c r="BC7" s="4">
        <f t="shared" si="2"/>
        <v>9128.1102477176446</v>
      </c>
      <c r="BD7" s="4">
        <f t="shared" si="3"/>
        <v>14965.27597533315</v>
      </c>
      <c r="BE7" s="4">
        <f t="shared" si="4"/>
        <v>50110.000700000004</v>
      </c>
      <c r="BF7" s="4">
        <f t="shared" si="5"/>
        <v>47433.628645239369</v>
      </c>
      <c r="BG7" s="4">
        <f t="shared" si="6"/>
        <v>30420.016988543088</v>
      </c>
      <c r="BH7" s="4">
        <f t="shared" si="7"/>
        <v>10398.229703522384</v>
      </c>
      <c r="BI7" s="4">
        <f t="shared" si="8"/>
        <v>45549.726426696689</v>
      </c>
      <c r="BJ7" s="73">
        <f t="shared" si="9"/>
        <v>98521.701141382204</v>
      </c>
    </row>
    <row r="8" spans="1:62">
      <c r="A8" s="1">
        <v>2026</v>
      </c>
      <c r="B8" s="72">
        <v>8155.8754821845887</v>
      </c>
      <c r="C8" s="72">
        <v>270.2309903853278</v>
      </c>
      <c r="D8" s="72">
        <v>2661.4383000000003</v>
      </c>
      <c r="E8" s="72">
        <v>2691.0549999999998</v>
      </c>
      <c r="F8" s="72">
        <v>16735.306700000001</v>
      </c>
      <c r="G8" s="72">
        <v>2121.4994037020738</v>
      </c>
      <c r="H8" s="72">
        <v>2427.7556504196837</v>
      </c>
      <c r="I8" s="72">
        <v>1239.8249358185146</v>
      </c>
      <c r="J8" s="72">
        <v>1253.6034972441978</v>
      </c>
      <c r="K8" s="72">
        <v>23079.917999999998</v>
      </c>
      <c r="L8" s="72">
        <v>22799.054517815413</v>
      </c>
      <c r="M8" s="72">
        <v>414.45610961467224</v>
      </c>
      <c r="N8" s="72">
        <v>370.18979429758218</v>
      </c>
      <c r="O8" s="72">
        <v>15168.357116589881</v>
      </c>
      <c r="P8" s="72">
        <v>5135.2979990558715</v>
      </c>
      <c r="Q8" s="72">
        <v>1342.2940000000001</v>
      </c>
      <c r="R8" s="72">
        <v>1438.6526484139058</v>
      </c>
      <c r="S8" s="72">
        <v>3738.5854168287105</v>
      </c>
      <c r="T8" s="72">
        <v>13340.41</v>
      </c>
      <c r="U8" s="72">
        <v>523.47094034692077</v>
      </c>
      <c r="V8" s="72">
        <v>8511.5609319094074</v>
      </c>
      <c r="W8" s="72">
        <v>4750.123393121773</v>
      </c>
      <c r="X8" s="72">
        <v>9526.2999999999993</v>
      </c>
      <c r="Y8" s="72">
        <v>3227.5375108716262</v>
      </c>
      <c r="Z8" s="72">
        <v>7599.3509999999997</v>
      </c>
      <c r="AA8" s="72">
        <v>6207.0598818653934</v>
      </c>
      <c r="AB8" s="72">
        <v>51.118462010927814</v>
      </c>
      <c r="AC8" s="72">
        <v>926.04093630572038</v>
      </c>
      <c r="AD8" s="72">
        <v>1312.886</v>
      </c>
      <c r="AE8" s="72">
        <v>521.03186327279366</v>
      </c>
      <c r="AF8" s="72">
        <v>9879.3394382484548</v>
      </c>
      <c r="AG8" s="72">
        <v>334.36860000000001</v>
      </c>
      <c r="AH8" s="72">
        <v>18170.571525000891</v>
      </c>
      <c r="AI8" s="72">
        <v>14069.555028315692</v>
      </c>
      <c r="AJ8" s="72">
        <v>380.70101227149638</v>
      </c>
      <c r="AK8" s="72">
        <v>10727.809751407087</v>
      </c>
      <c r="AL8" s="72">
        <v>2929.7597592717661</v>
      </c>
      <c r="AM8" s="72">
        <v>1382.655042806924</v>
      </c>
      <c r="AN8" s="72">
        <v>10155.618426667135</v>
      </c>
      <c r="AO8" s="72">
        <v>633.82210916967233</v>
      </c>
      <c r="AP8" s="72">
        <v>9374.6839716843078</v>
      </c>
      <c r="AQ8" s="72">
        <v>366.33878348610597</v>
      </c>
      <c r="AR8" s="72">
        <v>7201.2479999999996</v>
      </c>
      <c r="AS8" s="72">
        <v>29081.546040728233</v>
      </c>
      <c r="AT8" s="72">
        <v>1194.5899999999999</v>
      </c>
      <c r="AU8" s="72">
        <v>255.20134721845434</v>
      </c>
      <c r="AV8" s="72">
        <v>12251.207219207054</v>
      </c>
      <c r="AW8" s="72">
        <v>2857.9948571930763</v>
      </c>
      <c r="AX8" s="72">
        <v>2366.4582823410128</v>
      </c>
      <c r="AY8" s="72">
        <v>4557.6378429042024</v>
      </c>
      <c r="AZ8" s="72">
        <v>248.30759629792601</v>
      </c>
      <c r="BA8" s="72">
        <f t="shared" si="0"/>
        <v>305959.70111629454</v>
      </c>
      <c r="BB8" s="4">
        <f t="shared" si="1"/>
        <v>21660.643700000001</v>
      </c>
      <c r="BC8" s="4">
        <f t="shared" si="2"/>
        <v>8294.398156308509</v>
      </c>
      <c r="BD8" s="4">
        <f t="shared" si="3"/>
        <v>13888.624773214249</v>
      </c>
      <c r="BE8" s="4">
        <f t="shared" si="4"/>
        <v>48042.770799999998</v>
      </c>
      <c r="BF8" s="4">
        <f t="shared" si="5"/>
        <v>45115.402709957045</v>
      </c>
      <c r="BG8" s="4">
        <f t="shared" si="6"/>
        <v>26695.059899013297</v>
      </c>
      <c r="BH8" s="4">
        <f t="shared" si="7"/>
        <v>9111.4053035492961</v>
      </c>
      <c r="BI8" s="4">
        <f t="shared" si="8"/>
        <v>38205.529389916483</v>
      </c>
      <c r="BJ8" s="73">
        <f t="shared" si="9"/>
        <v>94945.86638433559</v>
      </c>
    </row>
    <row r="9" spans="1:62">
      <c r="A9" s="1">
        <v>2027</v>
      </c>
      <c r="B9" s="72">
        <v>8884.2659102097168</v>
      </c>
      <c r="C9" s="72">
        <v>285.66572382181329</v>
      </c>
      <c r="D9" s="72">
        <v>3064.3265000000001</v>
      </c>
      <c r="E9" s="72">
        <v>2649.0079999999998</v>
      </c>
      <c r="F9" s="72">
        <v>14600.363899999998</v>
      </c>
      <c r="G9" s="72">
        <v>2628.1818576292599</v>
      </c>
      <c r="H9" s="72">
        <v>2346.2407979484019</v>
      </c>
      <c r="I9" s="72">
        <v>1420.2711864720286</v>
      </c>
      <c r="J9" s="72">
        <v>1369.8519601284902</v>
      </c>
      <c r="K9" s="72">
        <v>22875.204000000002</v>
      </c>
      <c r="L9" s="72">
        <v>22607.748089790282</v>
      </c>
      <c r="M9" s="72">
        <v>437.63787617818667</v>
      </c>
      <c r="N9" s="72">
        <v>489.77986091996962</v>
      </c>
      <c r="O9" s="72">
        <v>12240.826918625275</v>
      </c>
      <c r="P9" s="72">
        <v>4517.2263618511925</v>
      </c>
      <c r="Q9" s="72">
        <v>883.70600000000002</v>
      </c>
      <c r="R9" s="72">
        <v>1776.4590713991474</v>
      </c>
      <c r="S9" s="72">
        <v>4304.3729522911126</v>
      </c>
      <c r="T9" s="72">
        <v>9646.8109999999997</v>
      </c>
      <c r="U9" s="72">
        <v>518.99279025795067</v>
      </c>
      <c r="V9" s="72">
        <v>9778.4611365399687</v>
      </c>
      <c r="W9" s="72">
        <v>4612.1627831236829</v>
      </c>
      <c r="X9" s="72">
        <v>8637.2649999999994</v>
      </c>
      <c r="Y9" s="72">
        <v>4022.2631088456128</v>
      </c>
      <c r="Z9" s="72">
        <v>6342.415</v>
      </c>
      <c r="AA9" s="72">
        <v>6593.9182465520335</v>
      </c>
      <c r="AB9" s="72">
        <v>68.911735023538355</v>
      </c>
      <c r="AC9" s="72">
        <v>1118.7245006363817</v>
      </c>
      <c r="AD9" s="72">
        <v>1214.4680000000001</v>
      </c>
      <c r="AE9" s="72">
        <v>516.94718942744555</v>
      </c>
      <c r="AF9" s="72">
        <v>10389.033137872628</v>
      </c>
      <c r="AG9" s="72">
        <v>584.79100000000005</v>
      </c>
      <c r="AH9" s="72">
        <v>19832.790351387994</v>
      </c>
      <c r="AI9" s="72">
        <v>15436.665324899666</v>
      </c>
      <c r="AJ9" s="72">
        <v>486.16061006932779</v>
      </c>
      <c r="AK9" s="72">
        <v>10469.72104377817</v>
      </c>
      <c r="AL9" s="72">
        <v>3247.3937118441572</v>
      </c>
      <c r="AM9" s="72">
        <v>1951.5930541136786</v>
      </c>
      <c r="AN9" s="72">
        <v>11590.401788546886</v>
      </c>
      <c r="AO9" s="72">
        <v>618.2727303847455</v>
      </c>
      <c r="AP9" s="72">
        <v>7572.403675100335</v>
      </c>
      <c r="AQ9" s="72">
        <v>457.18926168801994</v>
      </c>
      <c r="AR9" s="72">
        <v>9109.9830000000002</v>
      </c>
      <c r="AS9" s="72">
        <v>26149.401288155845</v>
      </c>
      <c r="AT9" s="72">
        <v>1110.7170000000001</v>
      </c>
      <c r="AU9" s="72">
        <v>269.09839853596986</v>
      </c>
      <c r="AV9" s="72">
        <v>14003.662300250235</v>
      </c>
      <c r="AW9" s="72">
        <v>4047.2319458863217</v>
      </c>
      <c r="AX9" s="72">
        <v>2651.6991423989707</v>
      </c>
      <c r="AY9" s="72">
        <v>3632.860924263724</v>
      </c>
      <c r="AZ9" s="72">
        <v>303.54514237073988</v>
      </c>
      <c r="BA9" s="72">
        <f t="shared" si="0"/>
        <v>304367.09228921897</v>
      </c>
      <c r="BB9" s="4">
        <f t="shared" si="1"/>
        <v>21322.4925</v>
      </c>
      <c r="BC9" s="4">
        <f t="shared" si="2"/>
        <v>9464.7210959435088</v>
      </c>
      <c r="BD9" s="4">
        <f t="shared" si="3"/>
        <v>15338.420799190522</v>
      </c>
      <c r="BE9" s="4">
        <f t="shared" si="4"/>
        <v>41692.614000000001</v>
      </c>
      <c r="BF9" s="4">
        <f t="shared" si="5"/>
        <v>39497.900248518359</v>
      </c>
      <c r="BG9" s="4">
        <f t="shared" si="6"/>
        <v>28641.03686250083</v>
      </c>
      <c r="BH9" s="4">
        <f t="shared" si="7"/>
        <v>8881.714689678196</v>
      </c>
      <c r="BI9" s="4">
        <f t="shared" si="8"/>
        <v>41812.225277807505</v>
      </c>
      <c r="BJ9" s="73">
        <f t="shared" si="9"/>
        <v>97715.966815579959</v>
      </c>
    </row>
    <row r="10" spans="1:62">
      <c r="A10" s="1">
        <v>2028</v>
      </c>
      <c r="B10" s="72">
        <v>7658.8176525463596</v>
      </c>
      <c r="C10" s="72">
        <v>387.85222556417335</v>
      </c>
      <c r="D10" s="72">
        <v>2847.9133000000002</v>
      </c>
      <c r="E10" s="72">
        <v>4664.1909999999998</v>
      </c>
      <c r="F10" s="72">
        <v>13776.2574</v>
      </c>
      <c r="G10" s="72">
        <v>2537.1712881691546</v>
      </c>
      <c r="H10" s="72">
        <v>2357.7518714087187</v>
      </c>
      <c r="I10" s="72">
        <v>1256.705338649643</v>
      </c>
      <c r="J10" s="72">
        <v>1233.1729384698492</v>
      </c>
      <c r="K10" s="72">
        <v>20912.933999999997</v>
      </c>
      <c r="L10" s="72">
        <v>20406.889347453642</v>
      </c>
      <c r="M10" s="72">
        <v>593.96367443582676</v>
      </c>
      <c r="N10" s="72">
        <v>485.67168186713724</v>
      </c>
      <c r="O10" s="72">
        <v>13396.687307206217</v>
      </c>
      <c r="P10" s="72">
        <v>5517.0375392967717</v>
      </c>
      <c r="Q10" s="72">
        <v>1222.038</v>
      </c>
      <c r="R10" s="72">
        <v>1445.5131542211009</v>
      </c>
      <c r="S10" s="72">
        <v>3039.6598417047985</v>
      </c>
      <c r="T10" s="72">
        <v>8365.0840000000007</v>
      </c>
      <c r="U10" s="72">
        <v>363.79645067488303</v>
      </c>
      <c r="V10" s="72">
        <v>8671.8900864345305</v>
      </c>
      <c r="W10" s="72">
        <v>4718.8745330930005</v>
      </c>
      <c r="X10" s="72">
        <v>8728.0619999999999</v>
      </c>
      <c r="Y10" s="72">
        <v>2799.343713457366</v>
      </c>
      <c r="Z10" s="72">
        <v>6211.9189999999999</v>
      </c>
      <c r="AA10" s="72">
        <v>5377.7029706894446</v>
      </c>
      <c r="AB10" s="72">
        <v>69.215391667103532</v>
      </c>
      <c r="AC10" s="72">
        <v>923.17599584819357</v>
      </c>
      <c r="AD10" s="72">
        <v>1199.4749999999999</v>
      </c>
      <c r="AE10" s="72">
        <v>369.75429382056069</v>
      </c>
      <c r="AF10" s="72">
        <v>11080.680790768478</v>
      </c>
      <c r="AG10" s="72">
        <v>379.08890000000002</v>
      </c>
      <c r="AH10" s="72">
        <v>20185.092302383156</v>
      </c>
      <c r="AI10" s="72">
        <v>13577.726651933275</v>
      </c>
      <c r="AJ10" s="72">
        <v>427.62636752411743</v>
      </c>
      <c r="AK10" s="72">
        <v>9494.6330388629121</v>
      </c>
      <c r="AL10" s="72">
        <v>2548.2835656241487</v>
      </c>
      <c r="AM10" s="72">
        <v>1201.3362053552046</v>
      </c>
      <c r="AN10" s="72">
        <v>12007.391230906302</v>
      </c>
      <c r="AO10" s="72">
        <v>619.33725407805582</v>
      </c>
      <c r="AP10" s="72">
        <v>7727.6233480667252</v>
      </c>
      <c r="AQ10" s="72">
        <v>382.01646785488742</v>
      </c>
      <c r="AR10" s="72">
        <v>6653.4589999999998</v>
      </c>
      <c r="AS10" s="72">
        <v>22724.061834375851</v>
      </c>
      <c r="AT10" s="72">
        <v>1228.6790000000001</v>
      </c>
      <c r="AU10" s="72">
        <v>187.25204617954364</v>
      </c>
      <c r="AV10" s="72">
        <v>12482.146071373707</v>
      </c>
      <c r="AW10" s="72">
        <v>2526.3358946447956</v>
      </c>
      <c r="AX10" s="72">
        <v>2394.8131580469849</v>
      </c>
      <c r="AY10" s="72">
        <v>4311.5437033341905</v>
      </c>
      <c r="AZ10" s="72">
        <v>291.72671183084526</v>
      </c>
      <c r="BA10" s="72">
        <f t="shared" si="0"/>
        <v>283969.37453982158</v>
      </c>
      <c r="BB10" s="4">
        <f t="shared" si="1"/>
        <v>18485.7454</v>
      </c>
      <c r="BC10" s="4">
        <f t="shared" si="2"/>
        <v>9038.9412735342412</v>
      </c>
      <c r="BD10" s="4">
        <f t="shared" si="3"/>
        <v>12577.41666959511</v>
      </c>
      <c r="BE10" s="4">
        <f t="shared" si="4"/>
        <v>38301.6204</v>
      </c>
      <c r="BF10" s="4">
        <f t="shared" si="5"/>
        <v>41447.963588700091</v>
      </c>
      <c r="BG10" s="4">
        <f t="shared" si="6"/>
        <v>23563.855494251158</v>
      </c>
      <c r="BH10" s="4">
        <f t="shared" si="7"/>
        <v>8616.7664492547628</v>
      </c>
      <c r="BI10" s="4">
        <f t="shared" si="8"/>
        <v>43273.164324057936</v>
      </c>
      <c r="BJ10" s="73">
        <f t="shared" si="9"/>
        <v>88663.900940428357</v>
      </c>
    </row>
    <row r="11" spans="1:62">
      <c r="A11" s="1">
        <v>2029</v>
      </c>
      <c r="B11" s="72">
        <v>6675.6052717533157</v>
      </c>
      <c r="C11" s="72">
        <v>199.31470193051828</v>
      </c>
      <c r="D11" s="72">
        <v>2547.1725000000001</v>
      </c>
      <c r="E11" s="72">
        <v>1819.5050000000001</v>
      </c>
      <c r="F11" s="72">
        <v>14075.3773</v>
      </c>
      <c r="G11" s="72">
        <v>2518.3140268749789</v>
      </c>
      <c r="H11" s="72">
        <v>1905.6602509164854</v>
      </c>
      <c r="I11" s="72">
        <v>1002.6592806050103</v>
      </c>
      <c r="J11" s="72">
        <v>920.49399711235787</v>
      </c>
      <c r="K11" s="72">
        <v>18783.462</v>
      </c>
      <c r="L11" s="72">
        <v>20939.489728246685</v>
      </c>
      <c r="M11" s="72">
        <v>313.16669806948175</v>
      </c>
      <c r="N11" s="72">
        <v>425.0272809622262</v>
      </c>
      <c r="O11" s="72">
        <v>11605.585110651697</v>
      </c>
      <c r="P11" s="72">
        <v>4784.6381153490629</v>
      </c>
      <c r="Q11" s="72">
        <v>825.99620000000004</v>
      </c>
      <c r="R11" s="72">
        <v>985.15948750452822</v>
      </c>
      <c r="S11" s="72">
        <v>3625.2017375388441</v>
      </c>
      <c r="T11" s="72">
        <v>8394.2109999999993</v>
      </c>
      <c r="U11" s="72">
        <v>282.59570948506217</v>
      </c>
      <c r="V11" s="72">
        <v>7069.2772450842203</v>
      </c>
      <c r="W11" s="72">
        <v>3850.0471289091006</v>
      </c>
      <c r="X11" s="72">
        <v>8246.2139999999999</v>
      </c>
      <c r="Y11" s="72">
        <v>3695.8249071185423</v>
      </c>
      <c r="Z11" s="72">
        <v>5120.1629999999996</v>
      </c>
      <c r="AA11" s="72">
        <v>4029.2580434658162</v>
      </c>
      <c r="AB11" s="72">
        <v>59.518359907873602</v>
      </c>
      <c r="AC11" s="72">
        <v>620.54970874852972</v>
      </c>
      <c r="AD11" s="72">
        <v>1321.3530000000001</v>
      </c>
      <c r="AE11" s="72">
        <v>274.77372453495468</v>
      </c>
      <c r="AF11" s="72">
        <v>8676.3150541869672</v>
      </c>
      <c r="AG11" s="72">
        <v>584.95150000000001</v>
      </c>
      <c r="AH11" s="72">
        <v>14658.246874660788</v>
      </c>
      <c r="AI11" s="72">
        <v>11799.122193954467</v>
      </c>
      <c r="AJ11" s="72">
        <v>303.55743621506696</v>
      </c>
      <c r="AK11" s="72">
        <v>8840.1830518088827</v>
      </c>
      <c r="AL11" s="72">
        <v>2858.8823468094752</v>
      </c>
      <c r="AM11" s="72">
        <v>1370.0695700318679</v>
      </c>
      <c r="AN11" s="72">
        <v>11798.428832633126</v>
      </c>
      <c r="AO11" s="72">
        <v>509.00369377324057</v>
      </c>
      <c r="AP11" s="72">
        <v>6708.1708060455321</v>
      </c>
      <c r="AQ11" s="72">
        <v>260.96505286954579</v>
      </c>
      <c r="AR11" s="72">
        <v>5410.3909999999996</v>
      </c>
      <c r="AS11" s="72">
        <v>22830.479653190527</v>
      </c>
      <c r="AT11" s="72">
        <v>1027.4010000000001</v>
      </c>
      <c r="AU11" s="72">
        <v>142.45654479463764</v>
      </c>
      <c r="AV11" s="72">
        <v>10238.511388143681</v>
      </c>
      <c r="AW11" s="72">
        <v>2902.6527299681316</v>
      </c>
      <c r="AX11" s="72">
        <v>1953.1291625505592</v>
      </c>
      <c r="AY11" s="72">
        <v>2379.1847487294831</v>
      </c>
      <c r="AZ11" s="72">
        <v>292.98797312502029</v>
      </c>
    </row>
  </sheetData>
  <sheetProtection algorithmName="SHA-512" hashValue="1E7P8oJ5WT1UBuHzx292AsQtMg6uiTzVb5UplGCqaSSkK16HVzJ7VknNaE+yZqK+0jIJelug0RyDnhOXrNJX9Q==" saltValue="63fvpbCStjGEzxgFTa1OtQ==" spinCount="100000" sheet="1" objects="1" scenarios="1" selectLockedCells="1" selectUnlockedCells="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9C07F-9DD3-4732-AF44-66FB7A38A4BD}">
  <sheetPr codeName="Sheet25"/>
  <dimension ref="A1:BJ11"/>
  <sheetViews>
    <sheetView topLeftCell="AA1" workbookViewId="0">
      <selection activeCell="BA1" sqref="BA1:BJ1"/>
    </sheetView>
  </sheetViews>
  <sheetFormatPr defaultRowHeight="15"/>
  <sheetData>
    <row r="1" spans="1:62">
      <c r="B1" s="1" t="s">
        <v>1</v>
      </c>
      <c r="C1" s="1" t="s">
        <v>107</v>
      </c>
      <c r="D1" s="1" t="s">
        <v>98</v>
      </c>
      <c r="E1" s="1" t="s">
        <v>93</v>
      </c>
      <c r="F1" s="1" t="s">
        <v>109</v>
      </c>
      <c r="G1" s="1" t="s">
        <v>100</v>
      </c>
      <c r="H1" s="1" t="s">
        <v>54</v>
      </c>
      <c r="I1" s="1" t="s">
        <v>79</v>
      </c>
      <c r="J1" s="16" t="s">
        <v>87</v>
      </c>
      <c r="K1" s="1" t="s">
        <v>81</v>
      </c>
      <c r="L1" s="1" t="s">
        <v>82</v>
      </c>
      <c r="M1" s="1" t="s">
        <v>110</v>
      </c>
      <c r="N1" s="1" t="s">
        <v>101</v>
      </c>
      <c r="O1" s="1" t="s">
        <v>65</v>
      </c>
      <c r="P1" s="1" t="s">
        <v>67</v>
      </c>
      <c r="Q1" s="1" t="s">
        <v>71</v>
      </c>
      <c r="R1" s="1" t="s">
        <v>73</v>
      </c>
      <c r="S1" s="1" t="s">
        <v>90</v>
      </c>
      <c r="T1" s="1" t="s">
        <v>95</v>
      </c>
      <c r="U1" s="1" t="s">
        <v>56</v>
      </c>
      <c r="V1" s="1" t="s">
        <v>83</v>
      </c>
      <c r="W1" s="1" t="s">
        <v>57</v>
      </c>
      <c r="X1" s="1" t="s">
        <v>68</v>
      </c>
      <c r="Y1" s="1" t="s">
        <v>74</v>
      </c>
      <c r="Z1" s="1" t="s">
        <v>91</v>
      </c>
      <c r="AA1" s="1" t="s">
        <v>75</v>
      </c>
      <c r="AB1" s="1" t="s">
        <v>102</v>
      </c>
      <c r="AC1" s="1" t="s">
        <v>76</v>
      </c>
      <c r="AD1" s="1" t="s">
        <v>103</v>
      </c>
      <c r="AE1" s="1" t="s">
        <v>58</v>
      </c>
      <c r="AF1" s="1" t="s">
        <v>61</v>
      </c>
      <c r="AG1" s="1" t="s">
        <v>104</v>
      </c>
      <c r="AH1" s="1" t="s">
        <v>63</v>
      </c>
      <c r="AI1" s="1" t="s">
        <v>84</v>
      </c>
      <c r="AJ1" s="1" t="s">
        <v>77</v>
      </c>
      <c r="AK1" s="1" t="s">
        <v>69</v>
      </c>
      <c r="AL1" s="1" t="s">
        <v>96</v>
      </c>
      <c r="AM1" s="1" t="s">
        <v>111</v>
      </c>
      <c r="AN1" s="1" t="s">
        <v>64</v>
      </c>
      <c r="AO1" s="1" t="s">
        <v>59</v>
      </c>
      <c r="AP1" s="1" t="s">
        <v>85</v>
      </c>
      <c r="AQ1" s="1" t="s">
        <v>78</v>
      </c>
      <c r="AR1" s="1" t="s">
        <v>92</v>
      </c>
      <c r="AS1" s="1" t="s">
        <v>97</v>
      </c>
      <c r="AT1" s="1" t="s">
        <v>105</v>
      </c>
      <c r="AU1" s="1" t="s">
        <v>60</v>
      </c>
      <c r="AV1" s="1" t="s">
        <v>86</v>
      </c>
      <c r="AW1" s="1" t="s">
        <v>112</v>
      </c>
      <c r="AX1" s="1" t="s">
        <v>88</v>
      </c>
      <c r="AY1" s="1" t="s">
        <v>70</v>
      </c>
      <c r="AZ1" s="1" t="s">
        <v>106</v>
      </c>
      <c r="BA1" s="1" t="s">
        <v>40</v>
      </c>
      <c r="BB1" s="1" t="s">
        <v>108</v>
      </c>
      <c r="BC1" s="1" t="s">
        <v>99</v>
      </c>
      <c r="BD1" s="1" t="s">
        <v>72</v>
      </c>
      <c r="BE1" s="1" t="s">
        <v>94</v>
      </c>
      <c r="BF1" s="1" t="s">
        <v>66</v>
      </c>
      <c r="BG1" s="1" t="s">
        <v>89</v>
      </c>
      <c r="BH1" s="1" t="s">
        <v>55</v>
      </c>
      <c r="BI1" s="1" t="s">
        <v>62</v>
      </c>
      <c r="BJ1" s="1" t="s">
        <v>80</v>
      </c>
    </row>
    <row r="2" spans="1:62">
      <c r="A2" s="1">
        <v>2020</v>
      </c>
      <c r="B2" s="72">
        <v>2237.1906644738838</v>
      </c>
      <c r="C2" s="72">
        <v>690.33254529350575</v>
      </c>
      <c r="D2" s="72">
        <v>22325.705000000002</v>
      </c>
      <c r="E2" s="72">
        <v>3761.3270000000002</v>
      </c>
      <c r="F2" s="72">
        <v>159267.97899999999</v>
      </c>
      <c r="G2" s="72">
        <v>11657.997923394712</v>
      </c>
      <c r="H2" s="72">
        <v>5226.7880659795737</v>
      </c>
      <c r="I2" s="72">
        <v>724.60825544633872</v>
      </c>
      <c r="J2" s="72">
        <v>705.74713045251076</v>
      </c>
      <c r="K2" s="72">
        <v>39029.108</v>
      </c>
      <c r="L2" s="72">
        <v>10562.404335526116</v>
      </c>
      <c r="M2" s="72">
        <v>1073.1044547064942</v>
      </c>
      <c r="N2" s="72">
        <v>1986.481436700732</v>
      </c>
      <c r="O2" s="72">
        <v>23010.166825799755</v>
      </c>
      <c r="P2" s="72">
        <v>5227.9172433857739</v>
      </c>
      <c r="Q2" s="72">
        <v>2406.7460000000001</v>
      </c>
      <c r="R2" s="72">
        <v>3356.7725766908165</v>
      </c>
      <c r="S2" s="72">
        <v>1310.0742136516851</v>
      </c>
      <c r="T2" s="72">
        <v>1612.3240000000001</v>
      </c>
      <c r="U2" s="72">
        <v>517.38526859965009</v>
      </c>
      <c r="V2" s="72">
        <v>4799.2936409850863</v>
      </c>
      <c r="W2" s="72">
        <v>9508.074714521721</v>
      </c>
      <c r="X2" s="72">
        <v>6139.3209999999999</v>
      </c>
      <c r="Y2" s="72">
        <v>2823.3731874245659</v>
      </c>
      <c r="Z2" s="72">
        <v>1307.8340000000001</v>
      </c>
      <c r="AA2" s="72">
        <v>3210.2804782723633</v>
      </c>
      <c r="AB2" s="72">
        <v>274.41329247629812</v>
      </c>
      <c r="AC2" s="72">
        <v>2204.7941919463287</v>
      </c>
      <c r="AD2" s="72">
        <v>7974.8410000000003</v>
      </c>
      <c r="AE2" s="72">
        <v>543.27593881395967</v>
      </c>
      <c r="AF2" s="72">
        <v>16510.992698337846</v>
      </c>
      <c r="AG2" s="72">
        <v>10502.71</v>
      </c>
      <c r="AH2" s="72">
        <v>33159.477658426149</v>
      </c>
      <c r="AI2" s="72">
        <v>9322.1986882707406</v>
      </c>
      <c r="AJ2" s="72">
        <v>773.03621859365103</v>
      </c>
      <c r="AK2" s="72">
        <v>3344.9888332244418</v>
      </c>
      <c r="AL2" s="72">
        <v>4130.1641343156371</v>
      </c>
      <c r="AM2" s="72">
        <v>5941.7422498015212</v>
      </c>
      <c r="AN2" s="72">
        <v>11851.018093470155</v>
      </c>
      <c r="AO2" s="72">
        <v>1332.6509584452747</v>
      </c>
      <c r="AP2" s="72">
        <v>2099.0013117292601</v>
      </c>
      <c r="AQ2" s="72">
        <v>812.71811710876557</v>
      </c>
      <c r="AR2" s="72">
        <v>3579.4650000000001</v>
      </c>
      <c r="AS2" s="72">
        <v>109157.25786568437</v>
      </c>
      <c r="AT2" s="72">
        <v>4468.5969999999998</v>
      </c>
      <c r="AU2" s="72">
        <v>255.70927444784527</v>
      </c>
      <c r="AV2" s="72">
        <v>6942.8625260240442</v>
      </c>
      <c r="AW2" s="72">
        <v>11505.666750198479</v>
      </c>
      <c r="AX2" s="72">
        <v>1364.3277077888279</v>
      </c>
      <c r="AY2" s="72">
        <v>5142.1116139018532</v>
      </c>
      <c r="AZ2" s="72">
        <v>1218.2490766052867</v>
      </c>
      <c r="BA2" s="72">
        <f>SUM(B2:AZ2)</f>
        <v>578890.60716091585</v>
      </c>
      <c r="BB2" s="4">
        <f>C2+F2+M2+AM2+AW2</f>
        <v>178478.82499999998</v>
      </c>
      <c r="BC2" s="4">
        <f>D2+G2+N2+AB2+AD2+AG2+AT2+AZ2</f>
        <v>60408.99472917703</v>
      </c>
      <c r="BD2" s="4">
        <f>Q2+R2+Y2+AA2+AC2+AJ2+AQ2</f>
        <v>15587.720770036489</v>
      </c>
      <c r="BE2" s="4">
        <f>E2+T2+AL2+AS2</f>
        <v>118661.073</v>
      </c>
      <c r="BF2" s="4">
        <f>O2+P2+X2+AK2+AY2</f>
        <v>42864.50551631183</v>
      </c>
      <c r="BG2" s="4">
        <f>B2+S2+Z2+AR2</f>
        <v>8434.5638781255693</v>
      </c>
      <c r="BH2" s="4">
        <f>H2+U2+W2+AE2+AO2+AU2</f>
        <v>17383.884220808028</v>
      </c>
      <c r="BI2" s="4">
        <f>AF2+AH2+AN2</f>
        <v>61521.488450234152</v>
      </c>
      <c r="BJ2" s="73">
        <f>I2+K2+J2+L2+V2+AI2+AP2+AV2+AX2</f>
        <v>75549.551596222926</v>
      </c>
    </row>
    <row r="3" spans="1:62">
      <c r="A3" s="1">
        <v>2021</v>
      </c>
      <c r="B3" s="72">
        <v>2623.890718758536</v>
      </c>
      <c r="C3" s="72">
        <v>667.52302216271664</v>
      </c>
      <c r="D3" s="72">
        <v>23306.777000000002</v>
      </c>
      <c r="E3" s="72">
        <v>1768.797</v>
      </c>
      <c r="F3" s="72">
        <v>154924.99799999999</v>
      </c>
      <c r="G3" s="72">
        <v>11380.037232273964</v>
      </c>
      <c r="H3" s="72">
        <v>4899.8013585101926</v>
      </c>
      <c r="I3" s="72">
        <v>693.89541386262681</v>
      </c>
      <c r="J3" s="72">
        <v>799.20350846078554</v>
      </c>
      <c r="K3" s="72">
        <v>41843.591999999997</v>
      </c>
      <c r="L3" s="72">
        <v>7394.3812812414644</v>
      </c>
      <c r="M3" s="72">
        <v>1042.6649778372835</v>
      </c>
      <c r="N3" s="72">
        <v>1730.2677891789508</v>
      </c>
      <c r="O3" s="72">
        <v>21408.093220956605</v>
      </c>
      <c r="P3" s="72">
        <v>4420.8011610338681</v>
      </c>
      <c r="Q3" s="72">
        <v>2349.3020000000001</v>
      </c>
      <c r="R3" s="72">
        <v>3174.1018097029009</v>
      </c>
      <c r="S3" s="72">
        <v>2734.3004985814687</v>
      </c>
      <c r="T3" s="72">
        <v>1659.1759999999999</v>
      </c>
      <c r="U3" s="72">
        <v>443.40541633449413</v>
      </c>
      <c r="V3" s="72">
        <v>4720.2086759773756</v>
      </c>
      <c r="W3" s="72">
        <v>9126.5457787801643</v>
      </c>
      <c r="X3" s="72">
        <v>6235.7579999999998</v>
      </c>
      <c r="Y3" s="72">
        <v>3484.1018643051984</v>
      </c>
      <c r="Z3" s="72">
        <v>1502.721</v>
      </c>
      <c r="AA3" s="72">
        <v>3596.8821510381699</v>
      </c>
      <c r="AB3" s="72">
        <v>240.13814640646908</v>
      </c>
      <c r="AC3" s="72">
        <v>2129.1350427823413</v>
      </c>
      <c r="AD3" s="72">
        <v>6893.5450000000001</v>
      </c>
      <c r="AE3" s="72">
        <v>459.62688419661976</v>
      </c>
      <c r="AF3" s="72">
        <v>18345.138108364437</v>
      </c>
      <c r="AG3" s="72">
        <v>7928.8140000000003</v>
      </c>
      <c r="AH3" s="72">
        <v>34650.943125764912</v>
      </c>
      <c r="AI3" s="72">
        <v>9366.0377144646409</v>
      </c>
      <c r="AJ3" s="72">
        <v>776.33887471752303</v>
      </c>
      <c r="AK3" s="72">
        <v>4901.2163922832005</v>
      </c>
      <c r="AL3" s="72">
        <v>3989.1199462823333</v>
      </c>
      <c r="AM3" s="72">
        <v>6476.493334460105</v>
      </c>
      <c r="AN3" s="72">
        <v>12508.075478431991</v>
      </c>
      <c r="AO3" s="72">
        <v>1310.8025586029953</v>
      </c>
      <c r="AP3" s="72">
        <v>3765.9122855353594</v>
      </c>
      <c r="AQ3" s="72">
        <v>788.53024075558699</v>
      </c>
      <c r="AR3" s="72">
        <v>4027.9520000000002</v>
      </c>
      <c r="AS3" s="72">
        <v>111928.77405371767</v>
      </c>
      <c r="AT3" s="72">
        <v>5536.9679999999998</v>
      </c>
      <c r="AU3" s="72">
        <v>218.37498897503423</v>
      </c>
      <c r="AV3" s="72">
        <v>6840.0423875377974</v>
      </c>
      <c r="AW3" s="72">
        <v>12571.308665539895</v>
      </c>
      <c r="AX3" s="72">
        <v>1335.1058237288737</v>
      </c>
      <c r="AY3" s="72">
        <v>4798.7145438431326</v>
      </c>
      <c r="AZ3" s="72">
        <v>1187.5207677260375</v>
      </c>
      <c r="BA3" s="72">
        <f t="shared" ref="BA3:BA10" si="0">SUM(B3:AZ3)</f>
        <v>580905.85524311371</v>
      </c>
      <c r="BB3" s="4">
        <f t="shared" ref="BB3:BB10" si="1">C3+F3+M3+AM3+AW3</f>
        <v>175682.98800000001</v>
      </c>
      <c r="BC3" s="4">
        <f t="shared" ref="BC3:BC10" si="2">D3+G3+N3+AB3+AD3+AG3+AT3+AZ3</f>
        <v>58204.067935585423</v>
      </c>
      <c r="BD3" s="4">
        <f t="shared" ref="BD3:BD10" si="3">Q3+R3+Y3+AA3+AC3+AJ3+AQ3</f>
        <v>16298.391983301719</v>
      </c>
      <c r="BE3" s="4">
        <f t="shared" ref="BE3:BE10" si="4">E3+T3+AL3+AS3</f>
        <v>119345.867</v>
      </c>
      <c r="BF3" s="4">
        <f t="shared" ref="BF3:BF10" si="5">O3+P3+X3+AK3+AY3</f>
        <v>41764.583318116813</v>
      </c>
      <c r="BG3" s="4">
        <f t="shared" ref="BG3:BG10" si="6">B3+S3+Z3+AR3</f>
        <v>10888.864217340004</v>
      </c>
      <c r="BH3" s="4">
        <f t="shared" ref="BH3:BH10" si="7">H3+U3+W3+AE3+AO3+AU3</f>
        <v>16458.556985399497</v>
      </c>
      <c r="BI3" s="4">
        <f t="shared" ref="BI3:BI10" si="8">AF3+AH3+AN3</f>
        <v>65504.156712561336</v>
      </c>
      <c r="BJ3" s="73">
        <f t="shared" ref="BJ3:BJ10" si="9">I3+K3+J3+L3+V3+AI3+AP3+AV3+AX3</f>
        <v>76758.379090808914</v>
      </c>
    </row>
    <row r="4" spans="1:62">
      <c r="A4" s="1">
        <v>2022</v>
      </c>
      <c r="B4" s="72">
        <v>2085.9773570973321</v>
      </c>
      <c r="C4" s="72">
        <v>828.97002908052991</v>
      </c>
      <c r="D4" s="72">
        <v>24985.093000000001</v>
      </c>
      <c r="E4" s="72">
        <v>1268.4949999999999</v>
      </c>
      <c r="F4" s="72">
        <v>159622.41500000001</v>
      </c>
      <c r="G4" s="72">
        <v>12455.46500181324</v>
      </c>
      <c r="H4" s="72">
        <v>5154.8609359430702</v>
      </c>
      <c r="I4" s="72">
        <v>888.07252354243758</v>
      </c>
      <c r="J4" s="72">
        <v>995.70661166337652</v>
      </c>
      <c r="K4" s="72">
        <v>41600.385999999999</v>
      </c>
      <c r="L4" s="72">
        <v>11398.108642902669</v>
      </c>
      <c r="M4" s="72">
        <v>1328.9789709194702</v>
      </c>
      <c r="N4" s="72">
        <v>1761.7299861000272</v>
      </c>
      <c r="O4" s="72">
        <v>25650.080213046051</v>
      </c>
      <c r="P4" s="72">
        <v>4594.1294553370317</v>
      </c>
      <c r="Q4" s="72">
        <v>2971.761</v>
      </c>
      <c r="R4" s="72">
        <v>3739.9940267741763</v>
      </c>
      <c r="S4" s="72">
        <v>2337.7191017881405</v>
      </c>
      <c r="T4" s="72">
        <v>1403.701</v>
      </c>
      <c r="U4" s="72">
        <v>555.0038525550782</v>
      </c>
      <c r="V4" s="72">
        <v>5993.6466148016871</v>
      </c>
      <c r="W4" s="72">
        <v>9548.4248552453791</v>
      </c>
      <c r="X4" s="72">
        <v>6609.7280000000001</v>
      </c>
      <c r="Y4" s="72">
        <v>4943.1674319972808</v>
      </c>
      <c r="Z4" s="72">
        <v>1489.5309999999999</v>
      </c>
      <c r="AA4" s="72">
        <v>2736.4619844801</v>
      </c>
      <c r="AB4" s="72">
        <v>242.39690392180043</v>
      </c>
      <c r="AC4" s="72">
        <v>2469.1098546677326</v>
      </c>
      <c r="AD4" s="72">
        <v>9181.4689999999991</v>
      </c>
      <c r="AE4" s="72">
        <v>565.57519697206089</v>
      </c>
      <c r="AF4" s="72">
        <v>16589.736497311402</v>
      </c>
      <c r="AG4" s="72">
        <v>9389.0730000000003</v>
      </c>
      <c r="AH4" s="72">
        <v>32804.617910089306</v>
      </c>
      <c r="AI4" s="72">
        <v>10385.715907018997</v>
      </c>
      <c r="AJ4" s="72">
        <v>919.87000502487592</v>
      </c>
      <c r="AK4" s="72">
        <v>6915.8715990182645</v>
      </c>
      <c r="AL4" s="72">
        <v>5817.9811503785895</v>
      </c>
      <c r="AM4" s="72">
        <v>5809.7176428958373</v>
      </c>
      <c r="AN4" s="72">
        <v>11922.239470203138</v>
      </c>
      <c r="AO4" s="72">
        <v>1352.4548275966715</v>
      </c>
      <c r="AP4" s="72">
        <v>3126.5040929810025</v>
      </c>
      <c r="AQ4" s="72">
        <v>965.9510148274594</v>
      </c>
      <c r="AR4" s="72">
        <v>5799.6459999999997</v>
      </c>
      <c r="AS4" s="72">
        <v>116286.4298496214</v>
      </c>
      <c r="AT4" s="72">
        <v>6308.223</v>
      </c>
      <c r="AU4" s="72">
        <v>278.02780889092793</v>
      </c>
      <c r="AV4" s="72">
        <v>8611.0139433489439</v>
      </c>
      <c r="AW4" s="72">
        <v>11395.521357104164</v>
      </c>
      <c r="AX4" s="72">
        <v>1655.7919630567676</v>
      </c>
      <c r="AY4" s="72">
        <v>5239.8208130388884</v>
      </c>
      <c r="AZ4" s="72">
        <v>1344.3459981867588</v>
      </c>
      <c r="BA4" s="72">
        <f t="shared" si="0"/>
        <v>612324.71240124188</v>
      </c>
      <c r="BB4" s="4">
        <f t="shared" si="1"/>
        <v>178985.603</v>
      </c>
      <c r="BC4" s="4">
        <f t="shared" si="2"/>
        <v>65667.795890021822</v>
      </c>
      <c r="BD4" s="4">
        <f t="shared" si="3"/>
        <v>18746.315317771627</v>
      </c>
      <c r="BE4" s="4">
        <f t="shared" si="4"/>
        <v>124776.60699999999</v>
      </c>
      <c r="BF4" s="4">
        <f t="shared" si="5"/>
        <v>49009.630080440234</v>
      </c>
      <c r="BG4" s="4">
        <f t="shared" si="6"/>
        <v>11712.873458885471</v>
      </c>
      <c r="BH4" s="4">
        <f t="shared" si="7"/>
        <v>17454.347477203188</v>
      </c>
      <c r="BI4" s="4">
        <f t="shared" si="8"/>
        <v>61316.593877603846</v>
      </c>
      <c r="BJ4" s="73">
        <f t="shared" si="9"/>
        <v>84654.946299315881</v>
      </c>
    </row>
    <row r="5" spans="1:62">
      <c r="A5" s="1">
        <v>2023</v>
      </c>
      <c r="B5" s="72">
        <v>1062.1206557482776</v>
      </c>
      <c r="C5" s="72">
        <v>809.68212736133091</v>
      </c>
      <c r="D5" s="72">
        <v>25516.236000000001</v>
      </c>
      <c r="E5" s="72">
        <v>2365.7399999999998</v>
      </c>
      <c r="F5" s="72">
        <v>161617.89499999999</v>
      </c>
      <c r="G5" s="72">
        <v>11215.144317280405</v>
      </c>
      <c r="H5" s="72">
        <v>5478.6449123033926</v>
      </c>
      <c r="I5" s="72">
        <v>736.54663747771656</v>
      </c>
      <c r="J5" s="72">
        <v>789.01087936050078</v>
      </c>
      <c r="K5" s="72">
        <v>44514.108</v>
      </c>
      <c r="L5" s="72">
        <v>9195.9443442517222</v>
      </c>
      <c r="M5" s="72">
        <v>1288.1068726386693</v>
      </c>
      <c r="N5" s="72">
        <v>1216.6564918160088</v>
      </c>
      <c r="O5" s="72">
        <v>22340.850925576455</v>
      </c>
      <c r="P5" s="72">
        <v>6703.9097623630942</v>
      </c>
      <c r="Q5" s="72">
        <v>2226.9299999999998</v>
      </c>
      <c r="R5" s="72">
        <v>3736.4225202101375</v>
      </c>
      <c r="S5" s="72">
        <v>2649.8329412517774</v>
      </c>
      <c r="T5" s="72">
        <v>1788.2439999999999</v>
      </c>
      <c r="U5" s="72">
        <v>915.60655454536038</v>
      </c>
      <c r="V5" s="72">
        <v>4967.09162080228</v>
      </c>
      <c r="W5" s="72">
        <v>10471.64401720483</v>
      </c>
      <c r="X5" s="72">
        <v>6520.3729999999996</v>
      </c>
      <c r="Y5" s="72">
        <v>4652.3079217490376</v>
      </c>
      <c r="Z5" s="72">
        <v>1403.5309999999999</v>
      </c>
      <c r="AA5" s="72">
        <v>4206.0341967549512</v>
      </c>
      <c r="AB5" s="72">
        <v>173.95697578317257</v>
      </c>
      <c r="AC5" s="72">
        <v>2464.4756924001863</v>
      </c>
      <c r="AD5" s="72">
        <v>7880.2539999999999</v>
      </c>
      <c r="AE5" s="72">
        <v>943.13229344098033</v>
      </c>
      <c r="AF5" s="72">
        <v>17297.200610856034</v>
      </c>
      <c r="AG5" s="72">
        <v>8640.36</v>
      </c>
      <c r="AH5" s="72">
        <v>34155.275597829139</v>
      </c>
      <c r="AI5" s="72">
        <v>11827.110508187983</v>
      </c>
      <c r="AJ5" s="72">
        <v>984.69489816345219</v>
      </c>
      <c r="AK5" s="72">
        <v>5946.6537053621851</v>
      </c>
      <c r="AL5" s="72">
        <v>6406.4596140311814</v>
      </c>
      <c r="AM5" s="72">
        <v>6845.9616642548517</v>
      </c>
      <c r="AN5" s="72">
        <v>11486.734951331049</v>
      </c>
      <c r="AO5" s="72">
        <v>1463.1955303972734</v>
      </c>
      <c r="AP5" s="72">
        <v>3038.9444918120157</v>
      </c>
      <c r="AQ5" s="72">
        <v>959.96714185111557</v>
      </c>
      <c r="AR5" s="72">
        <v>4584.8419999999996</v>
      </c>
      <c r="AS5" s="72">
        <v>121195.4973859688</v>
      </c>
      <c r="AT5" s="72">
        <v>4677.759</v>
      </c>
      <c r="AU5" s="72">
        <v>447.46882499316746</v>
      </c>
      <c r="AV5" s="72">
        <v>7078.5471688436028</v>
      </c>
      <c r="AW5" s="72">
        <v>13355.959335745149</v>
      </c>
      <c r="AX5" s="72">
        <v>1326.8397088187392</v>
      </c>
      <c r="AY5" s="72">
        <v>7502.851494317606</v>
      </c>
      <c r="AZ5" s="72">
        <v>1222.9306827195956</v>
      </c>
      <c r="BA5" s="72">
        <f t="shared" si="0"/>
        <v>620295.68797580304</v>
      </c>
      <c r="BB5" s="4">
        <f t="shared" si="1"/>
        <v>183917.60499999998</v>
      </c>
      <c r="BC5" s="4">
        <f t="shared" si="2"/>
        <v>60543.297467599179</v>
      </c>
      <c r="BD5" s="4">
        <f t="shared" si="3"/>
        <v>19230.832371128879</v>
      </c>
      <c r="BE5" s="4">
        <f t="shared" si="4"/>
        <v>131755.94099999999</v>
      </c>
      <c r="BF5" s="4">
        <f t="shared" si="5"/>
        <v>49014.638887619345</v>
      </c>
      <c r="BG5" s="4">
        <f t="shared" si="6"/>
        <v>9700.3265970000539</v>
      </c>
      <c r="BH5" s="4">
        <f t="shared" si="7"/>
        <v>19719.692132885</v>
      </c>
      <c r="BI5" s="4">
        <f t="shared" si="8"/>
        <v>62939.211160016217</v>
      </c>
      <c r="BJ5" s="73">
        <f t="shared" si="9"/>
        <v>83474.143359554568</v>
      </c>
    </row>
    <row r="6" spans="1:62">
      <c r="A6" s="1">
        <v>2024</v>
      </c>
      <c r="B6" s="72">
        <v>1286.2863467897355</v>
      </c>
      <c r="C6" s="72">
        <v>629.99969188489354</v>
      </c>
      <c r="D6" s="72">
        <v>25993.114000000001</v>
      </c>
      <c r="E6" s="72">
        <v>2815.6120000000001</v>
      </c>
      <c r="F6" s="72">
        <v>172449.215</v>
      </c>
      <c r="G6" s="72">
        <v>15157.116016962374</v>
      </c>
      <c r="H6" s="72">
        <v>5751.7854216422547</v>
      </c>
      <c r="I6" s="72">
        <v>883.36862791252145</v>
      </c>
      <c r="J6" s="72">
        <v>956.61796894587519</v>
      </c>
      <c r="K6" s="72">
        <v>46266.904000000002</v>
      </c>
      <c r="L6" s="72">
        <v>11689.569653210265</v>
      </c>
      <c r="M6" s="72">
        <v>1028.6253081151065</v>
      </c>
      <c r="N6" s="72">
        <v>1476.5280649597805</v>
      </c>
      <c r="O6" s="72">
        <v>26911.354941285132</v>
      </c>
      <c r="P6" s="72">
        <v>5445.7737706618609</v>
      </c>
      <c r="Q6" s="72">
        <v>1575.81</v>
      </c>
      <c r="R6" s="72">
        <v>3625.5087058139998</v>
      </c>
      <c r="S6" s="72">
        <v>2369.5112823288364</v>
      </c>
      <c r="T6" s="72">
        <v>1783.5360000000001</v>
      </c>
      <c r="U6" s="72">
        <v>678.69156665643072</v>
      </c>
      <c r="V6" s="72">
        <v>6234.1699085510181</v>
      </c>
      <c r="W6" s="72">
        <v>11086.121057116892</v>
      </c>
      <c r="X6" s="72">
        <v>8201.6959999999999</v>
      </c>
      <c r="Y6" s="72">
        <v>4760.2242680544332</v>
      </c>
      <c r="Z6" s="72">
        <v>2013.961</v>
      </c>
      <c r="AA6" s="72">
        <v>3575.3359082423044</v>
      </c>
      <c r="AB6" s="72">
        <v>201.19802268258144</v>
      </c>
      <c r="AC6" s="72">
        <v>2198.1511209324681</v>
      </c>
      <c r="AD6" s="72">
        <v>9104.7839999999997</v>
      </c>
      <c r="AE6" s="72">
        <v>683.11441776739207</v>
      </c>
      <c r="AF6" s="72">
        <v>19122.002798460169</v>
      </c>
      <c r="AG6" s="72">
        <v>9880.3510000000006</v>
      </c>
      <c r="AH6" s="72">
        <v>37616.624453779077</v>
      </c>
      <c r="AI6" s="72">
        <v>11587.975333403989</v>
      </c>
      <c r="AJ6" s="72">
        <v>962.78392812901575</v>
      </c>
      <c r="AK6" s="72">
        <v>8609.7543713858504</v>
      </c>
      <c r="AL6" s="72">
        <v>5324.6651020157369</v>
      </c>
      <c r="AM6" s="72">
        <v>6565.3436896381654</v>
      </c>
      <c r="AN6" s="72">
        <v>14407.343177686969</v>
      </c>
      <c r="AO6" s="72">
        <v>1556.1359988650863</v>
      </c>
      <c r="AP6" s="72">
        <v>2810.0856665960118</v>
      </c>
      <c r="AQ6" s="72">
        <v>937.30189957480707</v>
      </c>
      <c r="AR6" s="72">
        <v>4980.1490000000003</v>
      </c>
      <c r="AS6" s="72">
        <v>125812.30689798426</v>
      </c>
      <c r="AT6" s="72">
        <v>6313.6279999999997</v>
      </c>
      <c r="AU6" s="72">
        <v>338.55488564281802</v>
      </c>
      <c r="AV6" s="72">
        <v>8812.4953933582401</v>
      </c>
      <c r="AW6" s="72">
        <v>12914.953310361832</v>
      </c>
      <c r="AX6" s="72">
        <v>1652.3885936870399</v>
      </c>
      <c r="AY6" s="72">
        <v>3849.1381035912877</v>
      </c>
      <c r="AZ6" s="72">
        <v>1672.4229830376253</v>
      </c>
      <c r="BA6" s="72">
        <f t="shared" si="0"/>
        <v>662560.08865771431</v>
      </c>
      <c r="BB6" s="4">
        <f t="shared" si="1"/>
        <v>193588.13699999999</v>
      </c>
      <c r="BC6" s="4">
        <f t="shared" si="2"/>
        <v>69799.142087642365</v>
      </c>
      <c r="BD6" s="4">
        <f t="shared" si="3"/>
        <v>17635.115830747025</v>
      </c>
      <c r="BE6" s="4">
        <f t="shared" si="4"/>
        <v>135736.12</v>
      </c>
      <c r="BF6" s="4">
        <f t="shared" si="5"/>
        <v>53017.717186924121</v>
      </c>
      <c r="BG6" s="4">
        <f t="shared" si="6"/>
        <v>10649.907629118572</v>
      </c>
      <c r="BH6" s="4">
        <f t="shared" si="7"/>
        <v>20094.403347690877</v>
      </c>
      <c r="BI6" s="4">
        <f t="shared" si="8"/>
        <v>71145.970429926208</v>
      </c>
      <c r="BJ6" s="73">
        <f t="shared" si="9"/>
        <v>90893.57514566496</v>
      </c>
    </row>
    <row r="7" spans="1:62">
      <c r="A7" s="1">
        <v>2025</v>
      </c>
      <c r="B7" s="72">
        <v>1916.9471750242799</v>
      </c>
      <c r="C7" s="72">
        <v>946.09091041130421</v>
      </c>
      <c r="D7" s="72">
        <v>30429.456000000002</v>
      </c>
      <c r="E7" s="72">
        <v>1938.4380000000001</v>
      </c>
      <c r="F7" s="72">
        <v>179709.04100000003</v>
      </c>
      <c r="G7" s="72">
        <v>14464.905412226779</v>
      </c>
      <c r="H7" s="72">
        <v>5945.9737192107395</v>
      </c>
      <c r="I7" s="72">
        <v>1091.6582164072581</v>
      </c>
      <c r="J7" s="72">
        <v>1158.77645330358</v>
      </c>
      <c r="K7" s="72">
        <v>53543.368000000002</v>
      </c>
      <c r="L7" s="72">
        <v>12129.259824975721</v>
      </c>
      <c r="M7" s="72">
        <v>1478.6930895886956</v>
      </c>
      <c r="N7" s="72">
        <v>1821.6152804223611</v>
      </c>
      <c r="O7" s="72">
        <v>29809.436901718302</v>
      </c>
      <c r="P7" s="72">
        <v>7805.2099593894955</v>
      </c>
      <c r="Q7" s="72">
        <v>3817.721</v>
      </c>
      <c r="R7" s="72">
        <v>4382.5211845260401</v>
      </c>
      <c r="S7" s="72">
        <v>2486.9124555727758</v>
      </c>
      <c r="T7" s="72">
        <v>2103.0839999999998</v>
      </c>
      <c r="U7" s="72">
        <v>717.30293031029294</v>
      </c>
      <c r="V7" s="72">
        <v>7387.0085213710909</v>
      </c>
      <c r="W7" s="72">
        <v>11480.076457255311</v>
      </c>
      <c r="X7" s="72">
        <v>7462.9069999999992</v>
      </c>
      <c r="Y7" s="72">
        <v>4445.7125993337413</v>
      </c>
      <c r="Z7" s="72">
        <v>1114.818</v>
      </c>
      <c r="AA7" s="72">
        <v>3014.1217434122013</v>
      </c>
      <c r="AB7" s="72">
        <v>250.22333776838568</v>
      </c>
      <c r="AC7" s="72">
        <v>2778.3802855915696</v>
      </c>
      <c r="AD7" s="72">
        <v>8807.5570000000007</v>
      </c>
      <c r="AE7" s="72">
        <v>723.62063878457298</v>
      </c>
      <c r="AF7" s="72">
        <v>19683.918527417882</v>
      </c>
      <c r="AG7" s="72">
        <v>9295.5400000000009</v>
      </c>
      <c r="AH7" s="72">
        <v>38074.175584081408</v>
      </c>
      <c r="AI7" s="72">
        <v>14483.559426195545</v>
      </c>
      <c r="AJ7" s="72">
        <v>1139.2509370869598</v>
      </c>
      <c r="AK7" s="72">
        <v>7205.3476974431705</v>
      </c>
      <c r="AL7" s="72">
        <v>5281.8877399710791</v>
      </c>
      <c r="AM7" s="72">
        <v>6837.4056334244078</v>
      </c>
      <c r="AN7" s="72">
        <v>12473.483770248044</v>
      </c>
      <c r="AO7" s="72">
        <v>1569.4426266394225</v>
      </c>
      <c r="AP7" s="72">
        <v>3537.2445738044548</v>
      </c>
      <c r="AQ7" s="72">
        <v>1115.2957676897074</v>
      </c>
      <c r="AR7" s="72">
        <v>6435.8329999999996</v>
      </c>
      <c r="AS7" s="72">
        <v>130468.41526002891</v>
      </c>
      <c r="AT7" s="72">
        <v>5374.7290000000003</v>
      </c>
      <c r="AU7" s="72">
        <v>358.20577724604135</v>
      </c>
      <c r="AV7" s="72">
        <v>10503.760763488783</v>
      </c>
      <c r="AW7" s="72">
        <v>13742.660366575592</v>
      </c>
      <c r="AX7" s="72">
        <v>2009.1781028630978</v>
      </c>
      <c r="AY7" s="72">
        <v>5727.3064682360346</v>
      </c>
      <c r="AZ7" s="72">
        <v>1694.2685877732201</v>
      </c>
      <c r="BA7" s="72">
        <f t="shared" si="0"/>
        <v>702171.74670681846</v>
      </c>
      <c r="BB7" s="4">
        <f t="shared" si="1"/>
        <v>202713.891</v>
      </c>
      <c r="BC7" s="4">
        <f t="shared" si="2"/>
        <v>72138.294618190746</v>
      </c>
      <c r="BD7" s="4">
        <f t="shared" si="3"/>
        <v>20693.003517640216</v>
      </c>
      <c r="BE7" s="4">
        <f t="shared" si="4"/>
        <v>139791.82499999998</v>
      </c>
      <c r="BF7" s="4">
        <f t="shared" si="5"/>
        <v>58010.208026786997</v>
      </c>
      <c r="BG7" s="4">
        <f t="shared" si="6"/>
        <v>11954.510630597055</v>
      </c>
      <c r="BH7" s="4">
        <f t="shared" si="7"/>
        <v>20794.622149446383</v>
      </c>
      <c r="BI7" s="4">
        <f t="shared" si="8"/>
        <v>70231.577881747333</v>
      </c>
      <c r="BJ7" s="73">
        <f t="shared" si="9"/>
        <v>105843.81388240952</v>
      </c>
    </row>
    <row r="8" spans="1:62">
      <c r="A8" s="1">
        <v>2026</v>
      </c>
      <c r="B8" s="72">
        <v>1553.2214240189383</v>
      </c>
      <c r="C8" s="72">
        <v>680.31805305797457</v>
      </c>
      <c r="D8" s="72">
        <v>27759.125</v>
      </c>
      <c r="E8" s="72">
        <v>2156.1089999999999</v>
      </c>
      <c r="F8" s="72">
        <v>184038.01300000004</v>
      </c>
      <c r="G8" s="72">
        <v>12301.705073218534</v>
      </c>
      <c r="H8" s="72">
        <v>8020.6039440065233</v>
      </c>
      <c r="I8" s="72">
        <v>1039.5743020276814</v>
      </c>
      <c r="J8" s="72">
        <v>1248.4442652304735</v>
      </c>
      <c r="K8" s="72">
        <v>44740.948999999993</v>
      </c>
      <c r="L8" s="72">
        <v>16476.223575981061</v>
      </c>
      <c r="M8" s="72">
        <v>1043.4109469420257</v>
      </c>
      <c r="N8" s="72">
        <v>1769.5938245341081</v>
      </c>
      <c r="O8" s="72">
        <v>27623.765531090336</v>
      </c>
      <c r="P8" s="72">
        <v>9301.6025243839194</v>
      </c>
      <c r="Q8" s="72">
        <v>2685.8910000000001</v>
      </c>
      <c r="R8" s="72">
        <v>5362.0452982659826</v>
      </c>
      <c r="S8" s="72">
        <v>1869.0138799506719</v>
      </c>
      <c r="T8" s="72">
        <v>1830.5139999999999</v>
      </c>
      <c r="U8" s="72">
        <v>1731.794011426013</v>
      </c>
      <c r="V8" s="72">
        <v>7136.8140447298047</v>
      </c>
      <c r="W8" s="72">
        <v>15693.036659106954</v>
      </c>
      <c r="X8" s="72">
        <v>4774.1980000000003</v>
      </c>
      <c r="Y8" s="72">
        <v>3668.5789908479214</v>
      </c>
      <c r="Z8" s="72">
        <v>2508.02</v>
      </c>
      <c r="AA8" s="72">
        <v>2768.4336099537963</v>
      </c>
      <c r="AB8" s="72">
        <v>244.35820783730904</v>
      </c>
      <c r="AC8" s="72">
        <v>3451.4748601716201</v>
      </c>
      <c r="AD8" s="72">
        <v>8225.4279999999999</v>
      </c>
      <c r="AE8" s="72">
        <v>1723.7248355753336</v>
      </c>
      <c r="AF8" s="72">
        <v>22117.36226489149</v>
      </c>
      <c r="AG8" s="72">
        <v>9403.0949999999993</v>
      </c>
      <c r="AH8" s="72">
        <v>42316.614501970958</v>
      </c>
      <c r="AI8" s="72">
        <v>10850.748587642211</v>
      </c>
      <c r="AJ8" s="72">
        <v>1418.9221249104303</v>
      </c>
      <c r="AK8" s="72">
        <v>8321.6974731305309</v>
      </c>
      <c r="AL8" s="72">
        <v>8438.0134127044166</v>
      </c>
      <c r="AM8" s="72">
        <v>7721.2211233250682</v>
      </c>
      <c r="AN8" s="72">
        <v>17374.514470096066</v>
      </c>
      <c r="AO8" s="72">
        <v>2093.9653081338738</v>
      </c>
      <c r="AP8" s="72">
        <v>2953.3754123577905</v>
      </c>
      <c r="AQ8" s="72">
        <v>1365.3922326072211</v>
      </c>
      <c r="AR8" s="72">
        <v>4734.3019999999997</v>
      </c>
      <c r="AS8" s="72">
        <v>135839.09758729558</v>
      </c>
      <c r="AT8" s="72">
        <v>5351.027</v>
      </c>
      <c r="AU8" s="72">
        <v>844.2802279107824</v>
      </c>
      <c r="AV8" s="72">
        <v>10272.450429056353</v>
      </c>
      <c r="AW8" s="72">
        <v>15960.025876674932</v>
      </c>
      <c r="AX8" s="72">
        <v>1984.2391825408445</v>
      </c>
      <c r="AY8" s="72">
        <v>4960.9640746875693</v>
      </c>
      <c r="AZ8" s="72">
        <v>1439.8339267814663</v>
      </c>
      <c r="BA8" s="72">
        <f t="shared" si="0"/>
        <v>719187.12707907439</v>
      </c>
      <c r="BB8" s="4">
        <f t="shared" si="1"/>
        <v>209442.989</v>
      </c>
      <c r="BC8" s="4">
        <f t="shared" si="2"/>
        <v>66494.166032371417</v>
      </c>
      <c r="BD8" s="4">
        <f t="shared" si="3"/>
        <v>20720.738116756969</v>
      </c>
      <c r="BE8" s="4">
        <f t="shared" si="4"/>
        <v>148263.734</v>
      </c>
      <c r="BF8" s="4">
        <f t="shared" si="5"/>
        <v>54982.227603292347</v>
      </c>
      <c r="BG8" s="4">
        <f t="shared" si="6"/>
        <v>10664.55730396961</v>
      </c>
      <c r="BH8" s="4">
        <f t="shared" si="7"/>
        <v>30107.404986159476</v>
      </c>
      <c r="BI8" s="4">
        <f t="shared" si="8"/>
        <v>81808.491236958507</v>
      </c>
      <c r="BJ8" s="73">
        <f t="shared" si="9"/>
        <v>96702.818799566216</v>
      </c>
    </row>
    <row r="9" spans="1:62">
      <c r="A9" s="1">
        <v>2027</v>
      </c>
      <c r="B9" s="72">
        <v>1561.1307274158546</v>
      </c>
      <c r="C9" s="72">
        <v>539.6883106182496</v>
      </c>
      <c r="D9" s="72">
        <v>24978.898000000001</v>
      </c>
      <c r="E9" s="72">
        <v>3204.3910000000001</v>
      </c>
      <c r="F9" s="72">
        <v>184280.44699999999</v>
      </c>
      <c r="G9" s="72">
        <v>12166.886289494149</v>
      </c>
      <c r="H9" s="72">
        <v>5544.0511572364458</v>
      </c>
      <c r="I9" s="72">
        <v>954.84930657184782</v>
      </c>
      <c r="J9" s="72">
        <v>939.26928730195482</v>
      </c>
      <c r="K9" s="72">
        <v>46382.532999999996</v>
      </c>
      <c r="L9" s="72">
        <v>11858.685272584145</v>
      </c>
      <c r="M9" s="72">
        <v>826.79868938175036</v>
      </c>
      <c r="N9" s="72">
        <v>1370.137264381417</v>
      </c>
      <c r="O9" s="72">
        <v>27563.155181253078</v>
      </c>
      <c r="P9" s="72">
        <v>5999.8341209909513</v>
      </c>
      <c r="Q9" s="72">
        <v>1886.6379999999999</v>
      </c>
      <c r="R9" s="72">
        <v>3801.9203141356384</v>
      </c>
      <c r="S9" s="72">
        <v>3228.2870943419261</v>
      </c>
      <c r="T9" s="72">
        <v>2216.1489999999999</v>
      </c>
      <c r="U9" s="72">
        <v>485.24455925757644</v>
      </c>
      <c r="V9" s="72">
        <v>6574.0662237597526</v>
      </c>
      <c r="W9" s="72">
        <v>10898.312925723001</v>
      </c>
      <c r="X9" s="72">
        <v>6642.07</v>
      </c>
      <c r="Y9" s="72">
        <v>4757.7996193324443</v>
      </c>
      <c r="Z9" s="72">
        <v>2158.625</v>
      </c>
      <c r="AA9" s="72">
        <v>4910.060955347195</v>
      </c>
      <c r="AB9" s="72">
        <v>192.77749789788922</v>
      </c>
      <c r="AC9" s="72">
        <v>2394.2580346310974</v>
      </c>
      <c r="AD9" s="72">
        <v>9548.6540000000005</v>
      </c>
      <c r="AE9" s="72">
        <v>483.3319764779157</v>
      </c>
      <c r="AF9" s="72">
        <v>22343.452016481042</v>
      </c>
      <c r="AG9" s="72">
        <v>10300.370000000001</v>
      </c>
      <c r="AH9" s="72">
        <v>38253.761235842205</v>
      </c>
      <c r="AI9" s="72">
        <v>13665.733083655987</v>
      </c>
      <c r="AJ9" s="72">
        <v>1040.4652317147886</v>
      </c>
      <c r="AK9" s="72">
        <v>5524.5587491774577</v>
      </c>
      <c r="AL9" s="72">
        <v>5269.2638824624</v>
      </c>
      <c r="AM9" s="72">
        <v>6766.4726573575863</v>
      </c>
      <c r="AN9" s="72">
        <v>23907.445143314835</v>
      </c>
      <c r="AO9" s="72">
        <v>1460.9479339778607</v>
      </c>
      <c r="AP9" s="72">
        <v>4198.9649163440135</v>
      </c>
      <c r="AQ9" s="72">
        <v>978.46168786052874</v>
      </c>
      <c r="AR9" s="72">
        <v>5846.3149999999996</v>
      </c>
      <c r="AS9" s="72">
        <v>121639.5961175376</v>
      </c>
      <c r="AT9" s="72">
        <v>9590.9259999999995</v>
      </c>
      <c r="AU9" s="72">
        <v>251.59989935429732</v>
      </c>
      <c r="AV9" s="72">
        <v>9414.6719050711417</v>
      </c>
      <c r="AW9" s="72">
        <v>14032.374342642415</v>
      </c>
      <c r="AX9" s="72">
        <v>1782.739177893395</v>
      </c>
      <c r="AY9" s="72">
        <v>4970.5649112148913</v>
      </c>
      <c r="AZ9" s="72">
        <v>1405.2297105058544</v>
      </c>
      <c r="BA9" s="72">
        <f t="shared" si="0"/>
        <v>690992.86341054225</v>
      </c>
      <c r="BB9" s="4">
        <f t="shared" si="1"/>
        <v>206445.78099999996</v>
      </c>
      <c r="BC9" s="4">
        <f t="shared" si="2"/>
        <v>69553.878762279317</v>
      </c>
      <c r="BD9" s="4">
        <f t="shared" si="3"/>
        <v>19769.603843021694</v>
      </c>
      <c r="BE9" s="4">
        <f t="shared" si="4"/>
        <v>132329.4</v>
      </c>
      <c r="BF9" s="4">
        <f t="shared" si="5"/>
        <v>50700.182962636376</v>
      </c>
      <c r="BG9" s="4">
        <f t="shared" si="6"/>
        <v>12794.357821757781</v>
      </c>
      <c r="BH9" s="4">
        <f t="shared" si="7"/>
        <v>19123.488452027093</v>
      </c>
      <c r="BI9" s="4">
        <f t="shared" si="8"/>
        <v>84504.658395638078</v>
      </c>
      <c r="BJ9" s="73">
        <f t="shared" si="9"/>
        <v>95771.512173182244</v>
      </c>
    </row>
    <row r="10" spans="1:62">
      <c r="A10" s="1">
        <v>2028</v>
      </c>
      <c r="B10" s="72">
        <v>3803.7833450977269</v>
      </c>
      <c r="C10" s="72">
        <v>579.56066778655179</v>
      </c>
      <c r="D10" s="72">
        <v>24521.201000000001</v>
      </c>
      <c r="E10" s="72">
        <v>2596.0169999999998</v>
      </c>
      <c r="F10" s="72">
        <v>167112.674</v>
      </c>
      <c r="G10" s="72">
        <v>10797.896164990088</v>
      </c>
      <c r="H10" s="72">
        <v>4303.3345638743176</v>
      </c>
      <c r="I10" s="72">
        <v>1057.8336236016344</v>
      </c>
      <c r="J10" s="72">
        <v>1307.8599225536857</v>
      </c>
      <c r="K10" s="72">
        <v>43610.042000000001</v>
      </c>
      <c r="L10" s="72">
        <v>10385.462654902274</v>
      </c>
      <c r="M10" s="72">
        <v>887.54933221344834</v>
      </c>
      <c r="N10" s="72">
        <v>2498.8632331945619</v>
      </c>
      <c r="O10" s="72">
        <v>24088.443545953152</v>
      </c>
      <c r="P10" s="72">
        <v>5232.078137894021</v>
      </c>
      <c r="Q10" s="72">
        <v>2945.8290000000002</v>
      </c>
      <c r="R10" s="72">
        <v>3170.5980247219018</v>
      </c>
      <c r="S10" s="72">
        <v>2076.4478707841172</v>
      </c>
      <c r="T10" s="72">
        <v>2621.51</v>
      </c>
      <c r="U10" s="72">
        <v>587.66964920112582</v>
      </c>
      <c r="V10" s="72">
        <v>7299.5766242746813</v>
      </c>
      <c r="W10" s="72">
        <v>8612.8214453340024</v>
      </c>
      <c r="X10" s="72">
        <v>5399.0029999999997</v>
      </c>
      <c r="Y10" s="72">
        <v>5409.9726173400722</v>
      </c>
      <c r="Z10" s="72">
        <v>889.16150000000005</v>
      </c>
      <c r="AA10" s="72">
        <v>2995.1210844260422</v>
      </c>
      <c r="AB10" s="72">
        <v>356.12493761866477</v>
      </c>
      <c r="AC10" s="72">
        <v>2024.9002787416005</v>
      </c>
      <c r="AD10" s="72">
        <v>6989.7470000000003</v>
      </c>
      <c r="AE10" s="72">
        <v>597.29383213342362</v>
      </c>
      <c r="AF10" s="72">
        <v>16952.90779557146</v>
      </c>
      <c r="AG10" s="72">
        <v>9634.0409999999993</v>
      </c>
      <c r="AH10" s="72">
        <v>35260.002757632334</v>
      </c>
      <c r="AI10" s="72">
        <v>9401.7273836263903</v>
      </c>
      <c r="AJ10" s="72">
        <v>937.9584767054879</v>
      </c>
      <c r="AK10" s="72">
        <v>6336.081836700514</v>
      </c>
      <c r="AL10" s="72">
        <v>6541.2684159680884</v>
      </c>
      <c r="AM10" s="72">
        <v>5963.3026261090454</v>
      </c>
      <c r="AN10" s="72">
        <v>13929.905116506729</v>
      </c>
      <c r="AO10" s="72">
        <v>1130.4053850996138</v>
      </c>
      <c r="AP10" s="72">
        <v>4108.4046163736093</v>
      </c>
      <c r="AQ10" s="72">
        <v>837.91742389545891</v>
      </c>
      <c r="AR10" s="72">
        <v>6105.643</v>
      </c>
      <c r="AS10" s="72">
        <v>125801.1655840319</v>
      </c>
      <c r="AT10" s="72">
        <v>5458.8459999999995</v>
      </c>
      <c r="AU10" s="72">
        <v>302.48328175380652</v>
      </c>
      <c r="AV10" s="72">
        <v>10506.865374817437</v>
      </c>
      <c r="AW10" s="72">
        <v>12540.457373890955</v>
      </c>
      <c r="AX10" s="72">
        <v>2015.8376056139111</v>
      </c>
      <c r="AY10" s="72">
        <v>4208.9373028376322</v>
      </c>
      <c r="AZ10" s="72">
        <v>1241.5538350099118</v>
      </c>
      <c r="BA10" s="72">
        <f t="shared" si="0"/>
        <v>633974.08824878139</v>
      </c>
      <c r="BB10" s="4">
        <f t="shared" si="1"/>
        <v>187083.54399999999</v>
      </c>
      <c r="BC10" s="4">
        <f t="shared" si="2"/>
        <v>61498.273170813227</v>
      </c>
      <c r="BD10" s="4">
        <f t="shared" si="3"/>
        <v>18322.296905830561</v>
      </c>
      <c r="BE10" s="4">
        <f t="shared" si="4"/>
        <v>137559.96099999998</v>
      </c>
      <c r="BF10" s="4">
        <f t="shared" si="5"/>
        <v>45264.54382338532</v>
      </c>
      <c r="BG10" s="4">
        <f t="shared" si="6"/>
        <v>12875.035715881844</v>
      </c>
      <c r="BH10" s="4">
        <f t="shared" si="7"/>
        <v>15534.008157396289</v>
      </c>
      <c r="BI10" s="4">
        <f t="shared" si="8"/>
        <v>66142.815669710515</v>
      </c>
      <c r="BJ10" s="73">
        <f t="shared" si="9"/>
        <v>89693.609805763626</v>
      </c>
    </row>
    <row r="11" spans="1:62">
      <c r="A11" s="1">
        <v>2029</v>
      </c>
      <c r="B11" s="72">
        <v>1611.3683778491002</v>
      </c>
      <c r="C11" s="72">
        <v>669.59919441611805</v>
      </c>
      <c r="D11" s="72">
        <v>21389.527000000002</v>
      </c>
      <c r="E11" s="72">
        <v>1890.0119999999999</v>
      </c>
      <c r="F11" s="72">
        <v>159085.43799999999</v>
      </c>
      <c r="G11" s="72">
        <v>12099.655869636259</v>
      </c>
      <c r="H11" s="72">
        <v>4075.8892344404076</v>
      </c>
      <c r="I11" s="72">
        <v>858.34871965832053</v>
      </c>
      <c r="J11" s="72">
        <v>902.91881259954232</v>
      </c>
      <c r="K11" s="72">
        <v>39910.32</v>
      </c>
      <c r="L11" s="72">
        <v>8851.3866221509015</v>
      </c>
      <c r="M11" s="72">
        <v>1052.0858055838821</v>
      </c>
      <c r="N11" s="72">
        <v>2126.3757989283008</v>
      </c>
      <c r="O11" s="72">
        <v>20241.647282708036</v>
      </c>
      <c r="P11" s="72">
        <v>5830.9236508886115</v>
      </c>
      <c r="Q11" s="72">
        <v>1537.6179999999999</v>
      </c>
      <c r="R11" s="72">
        <v>2651.5891682878009</v>
      </c>
      <c r="S11" s="72">
        <v>1957.0779654219764</v>
      </c>
      <c r="T11" s="72">
        <v>1887.5309999999999</v>
      </c>
      <c r="U11" s="72">
        <v>499.43242796347755</v>
      </c>
      <c r="V11" s="72">
        <v>6051.8116069960788</v>
      </c>
      <c r="W11" s="72">
        <v>8234.6082609751156</v>
      </c>
      <c r="X11" s="72">
        <v>4454.277</v>
      </c>
      <c r="Y11" s="72">
        <v>4633.2039813737365</v>
      </c>
      <c r="Z11" s="72">
        <v>1130.011</v>
      </c>
      <c r="AA11" s="72">
        <v>3444.5023926653766</v>
      </c>
      <c r="AB11" s="72">
        <v>297.76535711658141</v>
      </c>
      <c r="AC11" s="72">
        <v>1670.2299546135041</v>
      </c>
      <c r="AD11" s="72">
        <v>6987.79</v>
      </c>
      <c r="AE11" s="72">
        <v>485.60860543537063</v>
      </c>
      <c r="AF11" s="72">
        <v>16962.917432123602</v>
      </c>
      <c r="AG11" s="72">
        <v>8504.7070000000003</v>
      </c>
      <c r="AH11" s="72">
        <v>32255.774071669992</v>
      </c>
      <c r="AI11" s="72">
        <v>9482.5701424749332</v>
      </c>
      <c r="AJ11" s="72">
        <v>817.03482535601813</v>
      </c>
      <c r="AK11" s="72">
        <v>5129.6616310728314</v>
      </c>
      <c r="AL11" s="72">
        <v>5129.5918234504825</v>
      </c>
      <c r="AM11" s="72">
        <v>5419.9870683819408</v>
      </c>
      <c r="AN11" s="72">
        <v>10285.078810776982</v>
      </c>
      <c r="AO11" s="72">
        <v>1088.673951583447</v>
      </c>
      <c r="AP11" s="72">
        <v>3912.8948575250679</v>
      </c>
      <c r="AQ11" s="72">
        <v>702.39602446843446</v>
      </c>
      <c r="AR11" s="72">
        <v>5428.8410000000003</v>
      </c>
      <c r="AS11" s="72">
        <v>113283.60517654952</v>
      </c>
      <c r="AT11" s="72">
        <v>4518.9780000000001</v>
      </c>
      <c r="AU11" s="72">
        <v>251.76397113642162</v>
      </c>
      <c r="AV11" s="72">
        <v>8764.9047998811766</v>
      </c>
      <c r="AW11" s="72">
        <v>11482.876931618061</v>
      </c>
      <c r="AX11" s="72">
        <v>1672.0195468504626</v>
      </c>
      <c r="AY11" s="72">
        <v>5192.1166231436719</v>
      </c>
      <c r="AZ11" s="72">
        <v>1407.709130363739</v>
      </c>
    </row>
  </sheetData>
  <sheetProtection algorithmName="SHA-512" hashValue="fLqy12ecB4JZQtxd4MojhXCKxw8lJTHtfn9hy7CsBjURCGjG759RUqRjyTsMNOD2HztBm6R0mq0mtbwHpwpbSA==" saltValue="x5eMl1HfNUKbSXs2Sse3IA==" spinCount="100000" sheet="1" objects="1" scenarios="1" selectLockedCells="1" selectUnlockedCells="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11829-C1BC-49F5-BCE8-9E6735BCFBA6}">
  <sheetPr codeName="Sheet26"/>
  <dimension ref="A1:BJ11"/>
  <sheetViews>
    <sheetView topLeftCell="AA1" workbookViewId="0">
      <selection activeCell="BA1" sqref="BA1:BJ1"/>
    </sheetView>
  </sheetViews>
  <sheetFormatPr defaultRowHeight="15"/>
  <sheetData>
    <row r="1" spans="1:62">
      <c r="B1" s="1" t="s">
        <v>1</v>
      </c>
      <c r="C1" s="1" t="s">
        <v>107</v>
      </c>
      <c r="D1" s="1" t="s">
        <v>98</v>
      </c>
      <c r="E1" s="1" t="s">
        <v>93</v>
      </c>
      <c r="F1" s="1" t="s">
        <v>109</v>
      </c>
      <c r="G1" s="1" t="s">
        <v>100</v>
      </c>
      <c r="H1" s="1" t="s">
        <v>54</v>
      </c>
      <c r="I1" s="1" t="s">
        <v>79</v>
      </c>
      <c r="J1" s="16" t="s">
        <v>87</v>
      </c>
      <c r="K1" s="1" t="s">
        <v>81</v>
      </c>
      <c r="L1" s="1" t="s">
        <v>82</v>
      </c>
      <c r="M1" s="1" t="s">
        <v>110</v>
      </c>
      <c r="N1" s="1" t="s">
        <v>101</v>
      </c>
      <c r="O1" s="1" t="s">
        <v>65</v>
      </c>
      <c r="P1" s="1" t="s">
        <v>67</v>
      </c>
      <c r="Q1" s="1" t="s">
        <v>71</v>
      </c>
      <c r="R1" s="1" t="s">
        <v>73</v>
      </c>
      <c r="S1" s="1" t="s">
        <v>90</v>
      </c>
      <c r="T1" s="1" t="s">
        <v>95</v>
      </c>
      <c r="U1" s="1" t="s">
        <v>56</v>
      </c>
      <c r="V1" s="1" t="s">
        <v>83</v>
      </c>
      <c r="W1" s="1" t="s">
        <v>57</v>
      </c>
      <c r="X1" s="1" t="s">
        <v>68</v>
      </c>
      <c r="Y1" s="1" t="s">
        <v>74</v>
      </c>
      <c r="Z1" s="1" t="s">
        <v>91</v>
      </c>
      <c r="AA1" s="1" t="s">
        <v>75</v>
      </c>
      <c r="AB1" s="1" t="s">
        <v>102</v>
      </c>
      <c r="AC1" s="1" t="s">
        <v>76</v>
      </c>
      <c r="AD1" s="1" t="s">
        <v>103</v>
      </c>
      <c r="AE1" s="1" t="s">
        <v>58</v>
      </c>
      <c r="AF1" s="1" t="s">
        <v>61</v>
      </c>
      <c r="AG1" s="1" t="s">
        <v>104</v>
      </c>
      <c r="AH1" s="1" t="s">
        <v>63</v>
      </c>
      <c r="AI1" s="1" t="s">
        <v>84</v>
      </c>
      <c r="AJ1" s="1" t="s">
        <v>77</v>
      </c>
      <c r="AK1" s="1" t="s">
        <v>69</v>
      </c>
      <c r="AL1" s="1" t="s">
        <v>96</v>
      </c>
      <c r="AM1" s="1" t="s">
        <v>111</v>
      </c>
      <c r="AN1" s="1" t="s">
        <v>64</v>
      </c>
      <c r="AO1" s="1" t="s">
        <v>59</v>
      </c>
      <c r="AP1" s="1" t="s">
        <v>85</v>
      </c>
      <c r="AQ1" s="1" t="s">
        <v>78</v>
      </c>
      <c r="AR1" s="1" t="s">
        <v>92</v>
      </c>
      <c r="AS1" s="1" t="s">
        <v>97</v>
      </c>
      <c r="AT1" s="1" t="s">
        <v>105</v>
      </c>
      <c r="AU1" s="1" t="s">
        <v>60</v>
      </c>
      <c r="AV1" s="1" t="s">
        <v>86</v>
      </c>
      <c r="AW1" s="1" t="s">
        <v>112</v>
      </c>
      <c r="AX1" s="1" t="s">
        <v>88</v>
      </c>
      <c r="AY1" s="1" t="s">
        <v>70</v>
      </c>
      <c r="AZ1" s="1" t="s">
        <v>106</v>
      </c>
      <c r="BA1" s="1" t="s">
        <v>40</v>
      </c>
      <c r="BB1" s="1" t="s">
        <v>108</v>
      </c>
      <c r="BC1" s="1" t="s">
        <v>99</v>
      </c>
      <c r="BD1" s="1" t="s">
        <v>72</v>
      </c>
      <c r="BE1" s="1" t="s">
        <v>94</v>
      </c>
      <c r="BF1" s="1" t="s">
        <v>66</v>
      </c>
      <c r="BG1" s="1" t="s">
        <v>89</v>
      </c>
      <c r="BH1" s="1" t="s">
        <v>55</v>
      </c>
      <c r="BI1" s="1" t="s">
        <v>62</v>
      </c>
      <c r="BJ1" s="1" t="s">
        <v>80</v>
      </c>
    </row>
    <row r="2" spans="1:62">
      <c r="A2" s="1">
        <v>2020</v>
      </c>
      <c r="B2">
        <v>766.0628614517891</v>
      </c>
      <c r="C2">
        <v>1353.6712820978432</v>
      </c>
      <c r="D2">
        <v>2900.8388</v>
      </c>
      <c r="E2">
        <v>806.53610000000003</v>
      </c>
      <c r="F2">
        <v>50245.014000000003</v>
      </c>
      <c r="G2">
        <v>1641.6629682909886</v>
      </c>
      <c r="H2">
        <v>2496.5671484296086</v>
      </c>
      <c r="I2">
        <v>384.71081651285584</v>
      </c>
      <c r="J2">
        <v>428.12249214196987</v>
      </c>
      <c r="K2">
        <v>4676.5749999999998</v>
      </c>
      <c r="L2">
        <v>4959.0777385482106</v>
      </c>
      <c r="M2">
        <v>2104.2477179021566</v>
      </c>
      <c r="N2">
        <v>845.75428890148271</v>
      </c>
      <c r="O2">
        <v>7769.2790415390309</v>
      </c>
      <c r="P2">
        <v>1323.6581484728913</v>
      </c>
      <c r="Q2">
        <v>259.88189999999997</v>
      </c>
      <c r="R2">
        <v>601.37189668812573</v>
      </c>
      <c r="S2">
        <v>592.07088876112493</v>
      </c>
      <c r="T2">
        <v>922.11329999999998</v>
      </c>
      <c r="U2">
        <v>340.94006231303365</v>
      </c>
      <c r="V2">
        <v>2548.0529119434814</v>
      </c>
      <c r="W2">
        <v>4541.5170229674131</v>
      </c>
      <c r="X2">
        <v>3035.2981</v>
      </c>
      <c r="Y2">
        <v>3564.9434697934457</v>
      </c>
      <c r="Z2">
        <v>369.04570000000001</v>
      </c>
      <c r="AA2">
        <v>1148.0773009616198</v>
      </c>
      <c r="AB2">
        <v>116.83281542709449</v>
      </c>
      <c r="AC2">
        <v>394.9928792390312</v>
      </c>
      <c r="AD2">
        <v>2546.11</v>
      </c>
      <c r="AE2">
        <v>358.00117180322928</v>
      </c>
      <c r="AF2">
        <v>8228.7758915704035</v>
      </c>
      <c r="AG2">
        <v>349.92099999999999</v>
      </c>
      <c r="AH2">
        <v>15790.897218079959</v>
      </c>
      <c r="AI2">
        <v>3334.336837805311</v>
      </c>
      <c r="AJ2">
        <v>138.4908409382241</v>
      </c>
      <c r="AK2">
        <v>1956.8589867119601</v>
      </c>
      <c r="AL2">
        <v>463.74937045147334</v>
      </c>
      <c r="AM2">
        <v>2297.8146369502415</v>
      </c>
      <c r="AN2">
        <v>3442.7767574959662</v>
      </c>
      <c r="AO2">
        <v>636.53864690497392</v>
      </c>
      <c r="AP2">
        <v>541.60036219468861</v>
      </c>
      <c r="AQ2">
        <v>145.59992504476352</v>
      </c>
      <c r="AR2">
        <v>1107.105</v>
      </c>
      <c r="AS2">
        <v>14090.094029548527</v>
      </c>
      <c r="AT2">
        <v>1141.155</v>
      </c>
      <c r="AU2">
        <v>168.50409405786465</v>
      </c>
      <c r="AV2">
        <v>3686.1218337596224</v>
      </c>
      <c r="AW2">
        <v>4449.5180630497589</v>
      </c>
      <c r="AX2">
        <v>724.35225863007383</v>
      </c>
      <c r="AY2">
        <v>1068.5816218497819</v>
      </c>
      <c r="AZ2">
        <v>171.55213170901138</v>
      </c>
      <c r="BA2" s="72">
        <f>SUM(B2:AZ2)</f>
        <v>167975.37233093908</v>
      </c>
      <c r="BB2" s="4">
        <f>C2+F2+M2+AM2+AW2</f>
        <v>60450.265700000004</v>
      </c>
      <c r="BC2" s="4">
        <f>D2+G2+N2+AB2+AD2+AG2+AT2+AZ2</f>
        <v>9713.8270043285793</v>
      </c>
      <c r="BD2" s="4">
        <f>Q2+R2+Y2+AA2+AC2+AJ2+AQ2</f>
        <v>6253.35821266521</v>
      </c>
      <c r="BE2" s="4">
        <f>E2+T2+AL2+AS2</f>
        <v>16282.4928</v>
      </c>
      <c r="BF2" s="4">
        <f>O2+P2+X2+AK2+AY2</f>
        <v>15153.675898573665</v>
      </c>
      <c r="BG2" s="4">
        <f>B2+S2+Z2+AR2</f>
        <v>2834.2844502129142</v>
      </c>
      <c r="BH2" s="4">
        <f>H2+U2+W2+AE2+AO2+AU2</f>
        <v>8542.0681464761219</v>
      </c>
      <c r="BI2" s="4">
        <f>AF2+AH2+AN2</f>
        <v>27462.44986714633</v>
      </c>
      <c r="BJ2" s="73">
        <f>I2+K2+J2+L2+V2+AI2+AP2+AV2+AX2</f>
        <v>21282.950251536215</v>
      </c>
    </row>
    <row r="3" spans="1:62">
      <c r="A3" s="1">
        <v>2021</v>
      </c>
      <c r="B3">
        <v>365.46790678245168</v>
      </c>
      <c r="C3">
        <v>1218.0140189866061</v>
      </c>
      <c r="D3">
        <v>3401.0084999999999</v>
      </c>
      <c r="E3">
        <v>471.50540000000001</v>
      </c>
      <c r="F3">
        <v>50770.313999999998</v>
      </c>
      <c r="G3">
        <v>1801.3497555381475</v>
      </c>
      <c r="H3">
        <v>1846.7950036677883</v>
      </c>
      <c r="I3">
        <v>473.00556597925242</v>
      </c>
      <c r="J3">
        <v>585.99376936550129</v>
      </c>
      <c r="K3">
        <v>5818.9975999999997</v>
      </c>
      <c r="L3">
        <v>3765.8025932175483</v>
      </c>
      <c r="M3">
        <v>1902.5269810133941</v>
      </c>
      <c r="N3">
        <v>305.12236178158241</v>
      </c>
      <c r="O3">
        <v>5626.3712439028641</v>
      </c>
      <c r="P3">
        <v>1555.923659006244</v>
      </c>
      <c r="Q3">
        <v>246.29060000000001</v>
      </c>
      <c r="R3">
        <v>774.23389532813621</v>
      </c>
      <c r="S3">
        <v>746.92716523699642</v>
      </c>
      <c r="T3">
        <v>445.27719999999999</v>
      </c>
      <c r="U3">
        <v>371.16548542454376</v>
      </c>
      <c r="V3">
        <v>3217.6102215353012</v>
      </c>
      <c r="W3">
        <v>3439.9066230965223</v>
      </c>
      <c r="X3">
        <v>2508.1028000000001</v>
      </c>
      <c r="Y3">
        <v>2628.2392955096511</v>
      </c>
      <c r="Z3">
        <v>412.6139</v>
      </c>
      <c r="AA3">
        <v>1435.1556871213502</v>
      </c>
      <c r="AB3">
        <v>42.346923894458072</v>
      </c>
      <c r="AC3">
        <v>519.34330298224006</v>
      </c>
      <c r="AD3">
        <v>1466.0029999999999</v>
      </c>
      <c r="AE3">
        <v>384.7441400181595</v>
      </c>
      <c r="AF3">
        <v>8920.2926472019553</v>
      </c>
      <c r="AG3">
        <v>156.24979999999999</v>
      </c>
      <c r="AH3">
        <v>16396.617660690612</v>
      </c>
      <c r="AI3">
        <v>1700.1064980015271</v>
      </c>
      <c r="AJ3">
        <v>189.36628599303509</v>
      </c>
      <c r="AK3">
        <v>2575.3838053123218</v>
      </c>
      <c r="AL3">
        <v>822.38449005437712</v>
      </c>
      <c r="AM3">
        <v>3223.1515683242214</v>
      </c>
      <c r="AN3">
        <v>5490.7047262593105</v>
      </c>
      <c r="AO3">
        <v>494.05750129409643</v>
      </c>
      <c r="AP3">
        <v>673.59880199847294</v>
      </c>
      <c r="AQ3">
        <v>192.34003081374863</v>
      </c>
      <c r="AR3">
        <v>747.67380000000003</v>
      </c>
      <c r="AS3">
        <v>12860.670309945623</v>
      </c>
      <c r="AT3">
        <v>864.40279999999996</v>
      </c>
      <c r="AU3">
        <v>182.79717793603444</v>
      </c>
      <c r="AV3">
        <v>4662.6307887371531</v>
      </c>
      <c r="AW3">
        <v>6256.3537316757793</v>
      </c>
      <c r="AX3">
        <v>910.09750630819838</v>
      </c>
      <c r="AY3">
        <v>3292.1708287934121</v>
      </c>
      <c r="AZ3">
        <v>187.97304446185254</v>
      </c>
      <c r="BA3" s="72">
        <f t="shared" ref="BA3:BA10" si="0">SUM(B3:AZ3)</f>
        <v>169345.18240319044</v>
      </c>
      <c r="BB3" s="4">
        <f t="shared" ref="BB3:BB10" si="1">C3+F3+M3+AM3+AW3</f>
        <v>63370.360299999993</v>
      </c>
      <c r="BC3" s="4">
        <f t="shared" ref="BC3:BC10" si="2">D3+G3+N3+AB3+AD3+AG3+AT3+AZ3</f>
        <v>8224.4561856760392</v>
      </c>
      <c r="BD3" s="4">
        <f t="shared" ref="BD3:BD10" si="3">Q3+R3+Y3+AA3+AC3+AJ3+AQ3</f>
        <v>5984.9690977481623</v>
      </c>
      <c r="BE3" s="4">
        <f t="shared" ref="BE3:BE10" si="4">E3+T3+AL3+AS3</f>
        <v>14599.8374</v>
      </c>
      <c r="BF3" s="4">
        <f t="shared" ref="BF3:BF10" si="5">O3+P3+X3+AK3+AY3</f>
        <v>15557.952337014842</v>
      </c>
      <c r="BG3" s="4">
        <f t="shared" ref="BG3:BG10" si="6">B3+S3+Z3+AR3</f>
        <v>2272.6827720194478</v>
      </c>
      <c r="BH3" s="4">
        <f t="shared" ref="BH3:BH10" si="7">H3+U3+W3+AE3+AO3+AU3</f>
        <v>6719.4659314371447</v>
      </c>
      <c r="BI3" s="4">
        <f t="shared" ref="BI3:BI10" si="8">AF3+AH3+AN3</f>
        <v>30807.615034151881</v>
      </c>
      <c r="BJ3" s="73">
        <f t="shared" ref="BJ3:BJ10" si="9">I3+K3+J3+L3+V3+AI3+AP3+AV3+AX3</f>
        <v>21807.843345142952</v>
      </c>
    </row>
    <row r="4" spans="1:62">
      <c r="A4" s="1">
        <v>2022</v>
      </c>
      <c r="B4">
        <v>797.20769344820781</v>
      </c>
      <c r="C4">
        <v>2030.3039103227718</v>
      </c>
      <c r="D4">
        <v>3641.9816999999998</v>
      </c>
      <c r="E4">
        <v>736.22770000000003</v>
      </c>
      <c r="F4">
        <v>53950.864999999998</v>
      </c>
      <c r="G4">
        <v>1130.4804360198539</v>
      </c>
      <c r="H4">
        <v>2400.5507603632805</v>
      </c>
      <c r="I4">
        <v>468.19323514002332</v>
      </c>
      <c r="J4">
        <v>527.85256818460618</v>
      </c>
      <c r="K4">
        <v>5506.846700000001</v>
      </c>
      <c r="L4">
        <v>3596.0221065517921</v>
      </c>
      <c r="M4">
        <v>3254.9200896772286</v>
      </c>
      <c r="N4">
        <v>463.06926348494591</v>
      </c>
      <c r="O4">
        <v>7873.6351809334574</v>
      </c>
      <c r="P4">
        <v>1898.5910222037596</v>
      </c>
      <c r="Q4">
        <v>413.6583</v>
      </c>
      <c r="R4">
        <v>564.65411762028907</v>
      </c>
      <c r="S4">
        <v>595.93214466228642</v>
      </c>
      <c r="T4">
        <v>788.16160000000002</v>
      </c>
      <c r="U4">
        <v>348.48026643611837</v>
      </c>
      <c r="V4">
        <v>3159.8599489109793</v>
      </c>
      <c r="W4">
        <v>4446.5755393530335</v>
      </c>
      <c r="X4">
        <v>3731.5025999999998</v>
      </c>
      <c r="Y4">
        <v>3013.1470805228628</v>
      </c>
      <c r="Z4">
        <v>231.70480000000001</v>
      </c>
      <c r="AA4">
        <v>747.74658371978421</v>
      </c>
      <c r="AB4">
        <v>63.713824851549184</v>
      </c>
      <c r="AC4">
        <v>372.77948475695553</v>
      </c>
      <c r="AD4">
        <v>1891.3630000000001</v>
      </c>
      <c r="AE4">
        <v>355.1178868815594</v>
      </c>
      <c r="AF4">
        <v>8596.4041580592893</v>
      </c>
      <c r="AG4">
        <v>259.69080000000002</v>
      </c>
      <c r="AH4">
        <v>15558.425465331235</v>
      </c>
      <c r="AI4">
        <v>2970.6831412349211</v>
      </c>
      <c r="AJ4">
        <v>138.87946940404419</v>
      </c>
      <c r="AK4">
        <v>1984.3247496588526</v>
      </c>
      <c r="AL4">
        <v>883.11274025696366</v>
      </c>
      <c r="AM4">
        <v>2883.2517332004118</v>
      </c>
      <c r="AN4">
        <v>5408.2457743689301</v>
      </c>
      <c r="AO4">
        <v>629.82037829701699</v>
      </c>
      <c r="AP4">
        <v>582.70815876507879</v>
      </c>
      <c r="AQ4">
        <v>145.83665482810017</v>
      </c>
      <c r="AR4">
        <v>2020.008</v>
      </c>
      <c r="AS4">
        <v>15759.147859743038</v>
      </c>
      <c r="AT4">
        <v>1230.0250000000001</v>
      </c>
      <c r="AU4">
        <v>174.57032860748609</v>
      </c>
      <c r="AV4">
        <v>4539.7401328110518</v>
      </c>
      <c r="AW4">
        <v>5655.3792667995876</v>
      </c>
      <c r="AX4">
        <v>872.93613455134982</v>
      </c>
      <c r="AY4">
        <v>2108.9582116896081</v>
      </c>
      <c r="AZ4">
        <v>122.01526398014606</v>
      </c>
      <c r="BA4" s="72">
        <f t="shared" si="0"/>
        <v>181525.30796563247</v>
      </c>
      <c r="BB4" s="4">
        <f t="shared" si="1"/>
        <v>67774.720000000001</v>
      </c>
      <c r="BC4" s="4">
        <f t="shared" si="2"/>
        <v>8802.3392883364941</v>
      </c>
      <c r="BD4" s="4">
        <f t="shared" si="3"/>
        <v>5396.7016908520363</v>
      </c>
      <c r="BE4" s="4">
        <f t="shared" si="4"/>
        <v>18166.6499</v>
      </c>
      <c r="BF4" s="4">
        <f t="shared" si="5"/>
        <v>17597.011764485676</v>
      </c>
      <c r="BG4" s="4">
        <f t="shared" si="6"/>
        <v>3644.8526381104939</v>
      </c>
      <c r="BH4" s="4">
        <f t="shared" si="7"/>
        <v>8355.1151599384939</v>
      </c>
      <c r="BI4" s="4">
        <f t="shared" si="8"/>
        <v>29563.075397759454</v>
      </c>
      <c r="BJ4" s="73">
        <f t="shared" si="9"/>
        <v>22224.842126149804</v>
      </c>
    </row>
    <row r="5" spans="1:62">
      <c r="A5" s="1">
        <v>2023</v>
      </c>
      <c r="B5">
        <v>310.13829909633068</v>
      </c>
      <c r="C5">
        <v>1442.3660725186905</v>
      </c>
      <c r="D5">
        <v>4235.9924000000001</v>
      </c>
      <c r="E5">
        <v>327.45890000000003</v>
      </c>
      <c r="F5">
        <v>52117.152999999998</v>
      </c>
      <c r="G5">
        <v>2081.3516037435775</v>
      </c>
      <c r="H5">
        <v>1987.3164856832793</v>
      </c>
      <c r="I5">
        <v>522.52978792270403</v>
      </c>
      <c r="J5">
        <v>601.31111575663112</v>
      </c>
      <c r="K5">
        <v>5411.5711000000001</v>
      </c>
      <c r="L5">
        <v>3544.2349009036689</v>
      </c>
      <c r="M5">
        <v>2294.6309274813098</v>
      </c>
      <c r="N5">
        <v>312.71360766413011</v>
      </c>
      <c r="O5">
        <v>9342.3330287005829</v>
      </c>
      <c r="P5">
        <v>1701.7415369644737</v>
      </c>
      <c r="Q5">
        <v>1353.675</v>
      </c>
      <c r="R5">
        <v>700.6925039590069</v>
      </c>
      <c r="S5">
        <v>1186.9695825124131</v>
      </c>
      <c r="T5">
        <v>576.18709999999999</v>
      </c>
      <c r="U5">
        <v>322.77938434026532</v>
      </c>
      <c r="V5">
        <v>3523.8139706923557</v>
      </c>
      <c r="W5">
        <v>3798.4704467456481</v>
      </c>
      <c r="X5">
        <v>3645.6610000000001</v>
      </c>
      <c r="Y5">
        <v>2692.586776470439</v>
      </c>
      <c r="Z5">
        <v>1322.847</v>
      </c>
      <c r="AA5">
        <v>3378.4398377182279</v>
      </c>
      <c r="AB5">
        <v>44.711645268337712</v>
      </c>
      <c r="AC5">
        <v>462.16391066952343</v>
      </c>
      <c r="AD5">
        <v>2110.5720000000001</v>
      </c>
      <c r="AE5">
        <v>332.48305128119364</v>
      </c>
      <c r="AF5">
        <v>7512.5343561853524</v>
      </c>
      <c r="AG5">
        <v>192.9658</v>
      </c>
      <c r="AH5">
        <v>15081.686783491074</v>
      </c>
      <c r="AI5">
        <v>2813.0653073801241</v>
      </c>
      <c r="AJ5">
        <v>184.66014753358368</v>
      </c>
      <c r="AK5">
        <v>2648.3993562681399</v>
      </c>
      <c r="AL5">
        <v>720.04942193279658</v>
      </c>
      <c r="AM5">
        <v>2248.7887297505772</v>
      </c>
      <c r="AN5">
        <v>4665.9576906509883</v>
      </c>
      <c r="AO5">
        <v>530.75763183820732</v>
      </c>
      <c r="AP5">
        <v>655.71449261987618</v>
      </c>
      <c r="AQ5">
        <v>180.02294352518774</v>
      </c>
      <c r="AR5">
        <v>1610.31</v>
      </c>
      <c r="AS5">
        <v>16290.449478067201</v>
      </c>
      <c r="AT5">
        <v>1309.9469999999999</v>
      </c>
      <c r="AU5">
        <v>157.74648087187876</v>
      </c>
      <c r="AV5">
        <v>5021.7481999551001</v>
      </c>
      <c r="AW5">
        <v>4387.2186702494228</v>
      </c>
      <c r="AX5">
        <v>941.30260920165233</v>
      </c>
      <c r="AY5">
        <v>1911.164375678421</v>
      </c>
      <c r="AZ5">
        <v>226.95639625642264</v>
      </c>
      <c r="BA5" s="72">
        <f t="shared" si="0"/>
        <v>180976.34184754881</v>
      </c>
      <c r="BB5" s="4">
        <f t="shared" si="1"/>
        <v>62490.157400000004</v>
      </c>
      <c r="BC5" s="4">
        <f t="shared" si="2"/>
        <v>10515.210452932468</v>
      </c>
      <c r="BD5" s="4">
        <f t="shared" si="3"/>
        <v>8952.2411198759673</v>
      </c>
      <c r="BE5" s="4">
        <f t="shared" si="4"/>
        <v>17914.144899999999</v>
      </c>
      <c r="BF5" s="4">
        <f t="shared" si="5"/>
        <v>19249.299297611618</v>
      </c>
      <c r="BG5" s="4">
        <f t="shared" si="6"/>
        <v>4430.264881608744</v>
      </c>
      <c r="BH5" s="4">
        <f t="shared" si="7"/>
        <v>7129.5534807604718</v>
      </c>
      <c r="BI5" s="4">
        <f t="shared" si="8"/>
        <v>27260.178830327415</v>
      </c>
      <c r="BJ5" s="73">
        <f t="shared" si="9"/>
        <v>23035.291484432113</v>
      </c>
    </row>
    <row r="6" spans="1:62">
      <c r="A6" s="1">
        <v>2024</v>
      </c>
      <c r="B6">
        <v>334.24507440590003</v>
      </c>
      <c r="C6">
        <v>812.8468825860931</v>
      </c>
      <c r="D6">
        <v>2984.8519999999999</v>
      </c>
      <c r="E6">
        <v>396.01900000000001</v>
      </c>
      <c r="F6">
        <v>54993.823999999993</v>
      </c>
      <c r="G6">
        <v>1943.1150746573514</v>
      </c>
      <c r="H6">
        <v>2759.7178332678996</v>
      </c>
      <c r="I6">
        <v>386.07032104081401</v>
      </c>
      <c r="J6">
        <v>462.3948209986869</v>
      </c>
      <c r="K6">
        <v>7066.5940000000001</v>
      </c>
      <c r="L6">
        <v>4440.6518255941</v>
      </c>
      <c r="M6">
        <v>1327.1671174139071</v>
      </c>
      <c r="N6">
        <v>371.69342086384438</v>
      </c>
      <c r="O6">
        <v>6451.3864147964605</v>
      </c>
      <c r="P6">
        <v>1835.5409317780484</v>
      </c>
      <c r="Q6">
        <v>203.30109999999999</v>
      </c>
      <c r="R6">
        <v>637.88639815711713</v>
      </c>
      <c r="S6">
        <v>809.71746443901225</v>
      </c>
      <c r="T6">
        <v>1364.6279999999999</v>
      </c>
      <c r="U6">
        <v>361.35884669075347</v>
      </c>
      <c r="V6">
        <v>2724.6020539633855</v>
      </c>
      <c r="W6">
        <v>5319.14244713894</v>
      </c>
      <c r="X6">
        <v>1747.8833999999999</v>
      </c>
      <c r="Y6">
        <v>3700.3198049040175</v>
      </c>
      <c r="Z6">
        <v>405.6302</v>
      </c>
      <c r="AA6">
        <v>991.69318552258233</v>
      </c>
      <c r="AB6">
        <v>50.648533608446584</v>
      </c>
      <c r="AC6">
        <v>386.75143680887288</v>
      </c>
      <c r="AD6">
        <v>1655.4949999999999</v>
      </c>
      <c r="AE6">
        <v>363.71372548262588</v>
      </c>
      <c r="AF6">
        <v>10068.599655507896</v>
      </c>
      <c r="AG6">
        <v>114.3288</v>
      </c>
      <c r="AH6">
        <v>20249.580615333562</v>
      </c>
      <c r="AI6">
        <v>2100.8917697551433</v>
      </c>
      <c r="AJ6">
        <v>169.39602741345237</v>
      </c>
      <c r="AK6">
        <v>2005.0561359338863</v>
      </c>
      <c r="AL6">
        <v>402.78128736336834</v>
      </c>
      <c r="AM6">
        <v>2286.3982527975013</v>
      </c>
      <c r="AN6">
        <v>4639.2080568085048</v>
      </c>
      <c r="AO6">
        <v>746.63707914054385</v>
      </c>
      <c r="AP6">
        <v>664.06643024485675</v>
      </c>
      <c r="AQ6">
        <v>164.91261812357413</v>
      </c>
      <c r="AR6">
        <v>1412.85</v>
      </c>
      <c r="AS6">
        <v>14439.418612636631</v>
      </c>
      <c r="AT6">
        <v>1288.3779999999999</v>
      </c>
      <c r="AU6">
        <v>180.25832208305582</v>
      </c>
      <c r="AV6">
        <v>3851.4418762236469</v>
      </c>
      <c r="AW6">
        <v>4497.6665472024979</v>
      </c>
      <c r="AX6">
        <v>722.16532791801683</v>
      </c>
      <c r="AY6">
        <v>1899.2974821229768</v>
      </c>
      <c r="AZ6">
        <v>214.40162534264863</v>
      </c>
      <c r="BA6" s="72">
        <f t="shared" si="0"/>
        <v>179406.62483607064</v>
      </c>
      <c r="BB6" s="4">
        <f t="shared" si="1"/>
        <v>63917.902799999989</v>
      </c>
      <c r="BC6" s="4">
        <f t="shared" si="2"/>
        <v>8622.9124544722908</v>
      </c>
      <c r="BD6" s="4">
        <f t="shared" si="3"/>
        <v>6254.2605709296167</v>
      </c>
      <c r="BE6" s="4">
        <f t="shared" si="4"/>
        <v>16602.8469</v>
      </c>
      <c r="BF6" s="4">
        <f t="shared" si="5"/>
        <v>13939.164364631371</v>
      </c>
      <c r="BG6" s="4">
        <f t="shared" si="6"/>
        <v>2962.4427388449121</v>
      </c>
      <c r="BH6" s="4">
        <f t="shared" si="7"/>
        <v>9730.8282538038202</v>
      </c>
      <c r="BI6" s="4">
        <f t="shared" si="8"/>
        <v>34957.388327649962</v>
      </c>
      <c r="BJ6" s="73">
        <f t="shared" si="9"/>
        <v>22418.878425738651</v>
      </c>
    </row>
    <row r="7" spans="1:62">
      <c r="A7" s="1">
        <v>2025</v>
      </c>
      <c r="B7">
        <v>915.98377328067625</v>
      </c>
      <c r="C7">
        <v>1365.0580641340173</v>
      </c>
      <c r="D7">
        <v>3716.0505000000003</v>
      </c>
      <c r="E7">
        <v>757.96540000000005</v>
      </c>
      <c r="F7">
        <v>54430.285000000003</v>
      </c>
      <c r="G7">
        <v>1358.6960722702861</v>
      </c>
      <c r="H7">
        <v>2801.6504607625748</v>
      </c>
      <c r="I7">
        <v>513.27327269469697</v>
      </c>
      <c r="J7">
        <v>467.68765375222318</v>
      </c>
      <c r="K7">
        <v>7189.2071999999998</v>
      </c>
      <c r="L7">
        <v>3454.3225267193238</v>
      </c>
      <c r="M7">
        <v>2133.5179358659825</v>
      </c>
      <c r="N7">
        <v>406.63685819315498</v>
      </c>
      <c r="O7">
        <v>5906.5712836526154</v>
      </c>
      <c r="P7">
        <v>2696.7874901338287</v>
      </c>
      <c r="Q7">
        <v>585.24260000000004</v>
      </c>
      <c r="R7">
        <v>606.64083045787515</v>
      </c>
      <c r="S7">
        <v>987.41727550369569</v>
      </c>
      <c r="T7">
        <v>859.19719999999995</v>
      </c>
      <c r="U7">
        <v>393.55914640538919</v>
      </c>
      <c r="V7">
        <v>3473.2061575701664</v>
      </c>
      <c r="W7">
        <v>5409.233712578236</v>
      </c>
      <c r="X7">
        <v>3117.0954000000002</v>
      </c>
      <c r="Y7">
        <v>2803.8222401307789</v>
      </c>
      <c r="Z7">
        <v>906.25379999999996</v>
      </c>
      <c r="AA7">
        <v>766.7971302206455</v>
      </c>
      <c r="AB7">
        <v>55.857036889342034</v>
      </c>
      <c r="AC7">
        <v>384.59116403822679</v>
      </c>
      <c r="AD7">
        <v>1765.4860000000001</v>
      </c>
      <c r="AE7">
        <v>397.02545310693881</v>
      </c>
      <c r="AF7">
        <v>10245.894172782479</v>
      </c>
      <c r="AG7">
        <v>76.113820000000004</v>
      </c>
      <c r="AH7">
        <v>19069.429821607795</v>
      </c>
      <c r="AI7">
        <v>3179.4113369866559</v>
      </c>
      <c r="AJ7">
        <v>157.69829864475338</v>
      </c>
      <c r="AK7">
        <v>1848.5547502127401</v>
      </c>
      <c r="AL7">
        <v>1142.8491351038174</v>
      </c>
      <c r="AM7">
        <v>2512.5447196198411</v>
      </c>
      <c r="AN7">
        <v>5585.9463612833406</v>
      </c>
      <c r="AO7">
        <v>739.49698833321111</v>
      </c>
      <c r="AP7">
        <v>728.09226301334411</v>
      </c>
      <c r="AQ7">
        <v>154.38235714783167</v>
      </c>
      <c r="AR7">
        <v>1020.735</v>
      </c>
      <c r="AS7">
        <v>15349.789864896182</v>
      </c>
      <c r="AT7">
        <v>1515.49</v>
      </c>
      <c r="AU7">
        <v>196.53503976269494</v>
      </c>
      <c r="AV7">
        <v>4938.6333393076739</v>
      </c>
      <c r="AW7">
        <v>5050.0219803801583</v>
      </c>
      <c r="AX7">
        <v>944.67059816306096</v>
      </c>
      <c r="AY7">
        <v>1141.1922798570076</v>
      </c>
      <c r="AZ7">
        <v>159.14352772971372</v>
      </c>
      <c r="BA7" s="72">
        <f t="shared" si="0"/>
        <v>186381.74429319298</v>
      </c>
      <c r="BB7" s="4">
        <f t="shared" si="1"/>
        <v>65491.427700000007</v>
      </c>
      <c r="BC7" s="4">
        <f t="shared" si="2"/>
        <v>9053.473815082496</v>
      </c>
      <c r="BD7" s="4">
        <f t="shared" si="3"/>
        <v>5459.1746206401112</v>
      </c>
      <c r="BE7" s="4">
        <f t="shared" si="4"/>
        <v>18109.801599999999</v>
      </c>
      <c r="BF7" s="4">
        <f t="shared" si="5"/>
        <v>14710.201203856192</v>
      </c>
      <c r="BG7" s="4">
        <f t="shared" si="6"/>
        <v>3830.3898487843721</v>
      </c>
      <c r="BH7" s="4">
        <f t="shared" si="7"/>
        <v>9937.5008009490448</v>
      </c>
      <c r="BI7" s="4">
        <f t="shared" si="8"/>
        <v>34901.270355673616</v>
      </c>
      <c r="BJ7" s="73">
        <f t="shared" si="9"/>
        <v>24888.504348207145</v>
      </c>
    </row>
    <row r="8" spans="1:62">
      <c r="A8" s="1">
        <v>2026</v>
      </c>
      <c r="B8">
        <v>290.75953826216272</v>
      </c>
      <c r="C8">
        <v>1083.5227588303082</v>
      </c>
      <c r="D8">
        <v>3339.1460000000002</v>
      </c>
      <c r="E8">
        <v>766.79369999999994</v>
      </c>
      <c r="F8">
        <v>53455.649000000005</v>
      </c>
      <c r="G8">
        <v>1344.4166458266814</v>
      </c>
      <c r="H8">
        <v>2108.6902907450512</v>
      </c>
      <c r="I8">
        <v>468.93916883479079</v>
      </c>
      <c r="J8">
        <v>588.97907717754026</v>
      </c>
      <c r="K8">
        <v>6104.7768000000005</v>
      </c>
      <c r="L8">
        <v>4717.0899617378373</v>
      </c>
      <c r="M8">
        <v>1661.8102411696921</v>
      </c>
      <c r="N8">
        <v>260.3601916522889</v>
      </c>
      <c r="O8">
        <v>5903.6824967598086</v>
      </c>
      <c r="P8">
        <v>2295.0445163584495</v>
      </c>
      <c r="Q8">
        <v>2475.8519999999999</v>
      </c>
      <c r="R8">
        <v>749.34467685709535</v>
      </c>
      <c r="S8">
        <v>530.25220675120136</v>
      </c>
      <c r="T8">
        <v>987.70039999999995</v>
      </c>
      <c r="U8">
        <v>261.73025641288302</v>
      </c>
      <c r="V8">
        <v>3219.328950067621</v>
      </c>
      <c r="W8">
        <v>4125.8431742030016</v>
      </c>
      <c r="X8">
        <v>2332.5443</v>
      </c>
      <c r="Y8">
        <v>3385.3805254553968</v>
      </c>
      <c r="Z8">
        <v>141.22819999999999</v>
      </c>
      <c r="AA8">
        <v>787.89640885341839</v>
      </c>
      <c r="AB8">
        <v>35.952402716528219</v>
      </c>
      <c r="AC8">
        <v>482.34286916824107</v>
      </c>
      <c r="AD8">
        <v>1320.153</v>
      </c>
      <c r="AE8">
        <v>260.51074216898058</v>
      </c>
      <c r="AF8">
        <v>8723.3107882358527</v>
      </c>
      <c r="AG8">
        <v>146.4607</v>
      </c>
      <c r="AH8">
        <v>17331.555217386347</v>
      </c>
      <c r="AI8">
        <v>2565.6471154710262</v>
      </c>
      <c r="AJ8">
        <v>198.29406169325628</v>
      </c>
      <c r="AK8">
        <v>2527.1148049018393</v>
      </c>
      <c r="AL8">
        <v>642.37370932810904</v>
      </c>
      <c r="AM8">
        <v>2408.7654132574121</v>
      </c>
      <c r="AN8">
        <v>5510.0861546448405</v>
      </c>
      <c r="AO8">
        <v>550.52267201379698</v>
      </c>
      <c r="AP8">
        <v>511.3249845289738</v>
      </c>
      <c r="AQ8">
        <v>190.81327076015558</v>
      </c>
      <c r="AR8">
        <v>657.03380000000004</v>
      </c>
      <c r="AS8">
        <v>19058.226490671888</v>
      </c>
      <c r="AT8">
        <v>1316.579</v>
      </c>
      <c r="AU8">
        <v>127.59813180867846</v>
      </c>
      <c r="AV8">
        <v>4633.7759183758726</v>
      </c>
      <c r="AW8">
        <v>4978.9997867425882</v>
      </c>
      <c r="AX8">
        <v>895.06586611002194</v>
      </c>
      <c r="AY8">
        <v>2057.6150624411357</v>
      </c>
      <c r="AZ8">
        <v>157.35515417331865</v>
      </c>
      <c r="BA8" s="72">
        <f t="shared" si="0"/>
        <v>180674.23860255408</v>
      </c>
      <c r="BB8" s="4">
        <f t="shared" si="1"/>
        <v>63588.747199999998</v>
      </c>
      <c r="BC8" s="4">
        <f t="shared" si="2"/>
        <v>7920.4230943688171</v>
      </c>
      <c r="BD8" s="4">
        <f t="shared" si="3"/>
        <v>8269.9238127875633</v>
      </c>
      <c r="BE8" s="4">
        <f t="shared" si="4"/>
        <v>21455.094299999997</v>
      </c>
      <c r="BF8" s="4">
        <f t="shared" si="5"/>
        <v>15116.001180461233</v>
      </c>
      <c r="BG8" s="4">
        <f>B8+S8+Z8+AR8</f>
        <v>1619.2737450133641</v>
      </c>
      <c r="BH8" s="4">
        <f t="shared" si="7"/>
        <v>7434.8952673523927</v>
      </c>
      <c r="BI8" s="4">
        <f t="shared" si="8"/>
        <v>31564.952160267039</v>
      </c>
      <c r="BJ8" s="73">
        <f t="shared" si="9"/>
        <v>23704.927842303681</v>
      </c>
    </row>
    <row r="9" spans="1:62">
      <c r="A9" s="1">
        <v>2027</v>
      </c>
      <c r="B9">
        <v>355.52852399389963</v>
      </c>
      <c r="C9">
        <v>1566.0327937627753</v>
      </c>
      <c r="D9">
        <v>4076.6315999999997</v>
      </c>
      <c r="E9">
        <v>996.61360000000002</v>
      </c>
      <c r="F9">
        <v>50941.244999999995</v>
      </c>
      <c r="G9">
        <v>1122.0728019270216</v>
      </c>
      <c r="H9">
        <v>2278.5273117706497</v>
      </c>
      <c r="I9">
        <v>631.95836917580004</v>
      </c>
      <c r="J9">
        <v>763.16079003737991</v>
      </c>
      <c r="K9">
        <v>5697.2422999999999</v>
      </c>
      <c r="L9">
        <v>4404.4142760061004</v>
      </c>
      <c r="M9">
        <v>2399.1512062372249</v>
      </c>
      <c r="N9">
        <v>425.94881415509991</v>
      </c>
      <c r="O9">
        <v>4322.437368803342</v>
      </c>
      <c r="P9">
        <v>1880.5067148413211</v>
      </c>
      <c r="Q9">
        <v>221.31610000000001</v>
      </c>
      <c r="R9">
        <v>695.27855266641347</v>
      </c>
      <c r="S9">
        <v>1082.1876459391663</v>
      </c>
      <c r="T9">
        <v>1320.193</v>
      </c>
      <c r="U9">
        <v>335.32074594501336</v>
      </c>
      <c r="V9">
        <v>4350.9862142925631</v>
      </c>
      <c r="W9">
        <v>4479.053845141837</v>
      </c>
      <c r="X9">
        <v>5331.1089999999995</v>
      </c>
      <c r="Y9">
        <v>2019.3480111304486</v>
      </c>
      <c r="Z9">
        <v>285.49540000000002</v>
      </c>
      <c r="AA9">
        <v>1178.0609048930351</v>
      </c>
      <c r="AB9">
        <v>59.93074472174532</v>
      </c>
      <c r="AC9">
        <v>437.85143387643649</v>
      </c>
      <c r="AD9">
        <v>1015.635</v>
      </c>
      <c r="AE9">
        <v>333.99908520277103</v>
      </c>
      <c r="AF9">
        <v>7225.3162730392614</v>
      </c>
      <c r="AG9">
        <v>355.61380000000003</v>
      </c>
      <c r="AH9">
        <v>13675.352079635448</v>
      </c>
      <c r="AI9">
        <v>1840.0270239793883</v>
      </c>
      <c r="AJ9">
        <v>190.27572927205074</v>
      </c>
      <c r="AK9">
        <v>3091.9708187302163</v>
      </c>
      <c r="AL9">
        <v>1293.0690705338034</v>
      </c>
      <c r="AM9">
        <v>3025.1984771105981</v>
      </c>
      <c r="AN9">
        <v>4936.6030602479123</v>
      </c>
      <c r="AO9">
        <v>600.42912199655416</v>
      </c>
      <c r="AP9">
        <v>626.42147602061175</v>
      </c>
      <c r="AQ9">
        <v>178.93679245349216</v>
      </c>
      <c r="AR9">
        <v>1445.116</v>
      </c>
      <c r="AS9">
        <v>20429.755929466199</v>
      </c>
      <c r="AT9">
        <v>1532.6880000000001</v>
      </c>
      <c r="AU9">
        <v>173.86421820010546</v>
      </c>
      <c r="AV9">
        <v>6231.0153680844669</v>
      </c>
      <c r="AW9">
        <v>6273.6849228894007</v>
      </c>
      <c r="AX9">
        <v>1179.8897855119758</v>
      </c>
      <c r="AY9">
        <v>2877.1183273940783</v>
      </c>
      <c r="AZ9">
        <v>129.59519807297858</v>
      </c>
      <c r="BA9" s="72">
        <f t="shared" si="0"/>
        <v>182319.17862715852</v>
      </c>
      <c r="BB9" s="4">
        <f t="shared" si="1"/>
        <v>64205.312399999995</v>
      </c>
      <c r="BC9" s="4">
        <f t="shared" si="2"/>
        <v>8718.115958876846</v>
      </c>
      <c r="BD9" s="4">
        <f t="shared" si="3"/>
        <v>4921.067524291876</v>
      </c>
      <c r="BE9" s="4">
        <f t="shared" si="4"/>
        <v>24039.631600000001</v>
      </c>
      <c r="BF9" s="4">
        <f t="shared" si="5"/>
        <v>17503.142229768957</v>
      </c>
      <c r="BG9" s="4">
        <f t="shared" si="6"/>
        <v>3168.3275699330661</v>
      </c>
      <c r="BH9" s="4">
        <f t="shared" si="7"/>
        <v>8201.1943282569318</v>
      </c>
      <c r="BI9" s="4">
        <f t="shared" si="8"/>
        <v>25837.271412922619</v>
      </c>
      <c r="BJ9" s="73">
        <f t="shared" si="9"/>
        <v>25725.115603108286</v>
      </c>
    </row>
    <row r="10" spans="1:62">
      <c r="A10" s="1">
        <v>2028</v>
      </c>
      <c r="B10">
        <v>389.71164328507695</v>
      </c>
      <c r="C10">
        <v>1097.7047570060956</v>
      </c>
      <c r="D10">
        <v>3354.1102000000001</v>
      </c>
      <c r="E10">
        <v>893.64819999999997</v>
      </c>
      <c r="F10">
        <v>56544.707999999999</v>
      </c>
      <c r="G10">
        <v>2768.582747143862</v>
      </c>
      <c r="H10">
        <v>2443.4406662290407</v>
      </c>
      <c r="I10">
        <v>482.81455501016927</v>
      </c>
      <c r="J10">
        <v>593.643454351983</v>
      </c>
      <c r="K10">
        <v>6125.9750000000004</v>
      </c>
      <c r="L10">
        <v>4025.0642567149234</v>
      </c>
      <c r="M10">
        <v>1681.0442429939046</v>
      </c>
      <c r="N10">
        <v>637.36258110838992</v>
      </c>
      <c r="O10">
        <v>5412.5453619044465</v>
      </c>
      <c r="P10">
        <v>1514.0639326591775</v>
      </c>
      <c r="Q10">
        <v>376.3442</v>
      </c>
      <c r="R10">
        <v>298.78410063993539</v>
      </c>
      <c r="S10">
        <v>344.74212273789755</v>
      </c>
      <c r="T10">
        <v>651.32629999999995</v>
      </c>
      <c r="U10">
        <v>336.67287493025594</v>
      </c>
      <c r="V10">
        <v>3331.6598763540837</v>
      </c>
      <c r="W10">
        <v>4890.3746288208231</v>
      </c>
      <c r="X10">
        <v>3438.5294000000004</v>
      </c>
      <c r="Y10">
        <v>3224.0876459468436</v>
      </c>
      <c r="Z10">
        <v>405.78179999999998</v>
      </c>
      <c r="AA10">
        <v>1370.1795902960403</v>
      </c>
      <c r="AB10">
        <v>90.833586417421898</v>
      </c>
      <c r="AC10">
        <v>190.8182632903866</v>
      </c>
      <c r="AD10">
        <v>2410.924</v>
      </c>
      <c r="AE10">
        <v>342.18651910275332</v>
      </c>
      <c r="AF10">
        <v>9604.5363056308324</v>
      </c>
      <c r="AG10">
        <v>125.58580000000001</v>
      </c>
      <c r="AH10">
        <v>17737.430591841461</v>
      </c>
      <c r="AI10">
        <v>2231.0763280150813</v>
      </c>
      <c r="AJ10">
        <v>88.38934412842633</v>
      </c>
      <c r="AK10">
        <v>2156.0312293763041</v>
      </c>
      <c r="AL10">
        <v>543.86789431526927</v>
      </c>
      <c r="AM10">
        <v>3120.5578142354211</v>
      </c>
      <c r="AN10">
        <v>4348.519648278585</v>
      </c>
      <c r="AO10">
        <v>641.84609545904777</v>
      </c>
      <c r="AP10">
        <v>645.11547198491871</v>
      </c>
      <c r="AQ10">
        <v>78.961887302347421</v>
      </c>
      <c r="AR10">
        <v>2152.3150000000001</v>
      </c>
      <c r="AS10">
        <v>15022.975105684731</v>
      </c>
      <c r="AT10">
        <v>1052.376</v>
      </c>
      <c r="AU10">
        <v>173.2910934311997</v>
      </c>
      <c r="AV10">
        <v>4795.5249458062299</v>
      </c>
      <c r="AW10">
        <v>6562.3404857645801</v>
      </c>
      <c r="AX10">
        <v>920.06504124297703</v>
      </c>
      <c r="AY10">
        <v>768.17402171819538</v>
      </c>
      <c r="AZ10">
        <v>318.33465285613761</v>
      </c>
      <c r="BA10" s="72">
        <f t="shared" si="0"/>
        <v>182754.97926401527</v>
      </c>
      <c r="BB10" s="4">
        <f t="shared" si="1"/>
        <v>69006.355299999996</v>
      </c>
      <c r="BC10" s="4">
        <f t="shared" si="2"/>
        <v>10758.109567525813</v>
      </c>
      <c r="BD10" s="4">
        <f t="shared" si="3"/>
        <v>5627.5650316039792</v>
      </c>
      <c r="BE10" s="4">
        <f t="shared" si="4"/>
        <v>17111.817500000001</v>
      </c>
      <c r="BF10" s="4">
        <f t="shared" si="5"/>
        <v>13289.343945658124</v>
      </c>
      <c r="BG10" s="4">
        <f t="shared" si="6"/>
        <v>3292.5505660229746</v>
      </c>
      <c r="BH10" s="4">
        <f t="shared" si="7"/>
        <v>8827.8118779731212</v>
      </c>
      <c r="BI10" s="4">
        <f t="shared" si="8"/>
        <v>31690.486545750879</v>
      </c>
      <c r="BJ10" s="73">
        <f t="shared" si="9"/>
        <v>23150.938929480366</v>
      </c>
    </row>
    <row r="11" spans="1:62">
      <c r="A11" s="1">
        <v>2029</v>
      </c>
      <c r="B11">
        <v>342.69592185878173</v>
      </c>
      <c r="C11">
        <v>946.73408050844682</v>
      </c>
      <c r="D11">
        <v>2214.2541999999999</v>
      </c>
      <c r="E11">
        <v>467.22050000000002</v>
      </c>
      <c r="F11">
        <v>43594.800999999999</v>
      </c>
      <c r="G11">
        <v>1346.8376888271737</v>
      </c>
      <c r="H11">
        <v>2190.8751790209271</v>
      </c>
      <c r="I11">
        <v>551.25688889293463</v>
      </c>
      <c r="J11">
        <v>541.51076308466043</v>
      </c>
      <c r="K11">
        <v>5852.0853000000006</v>
      </c>
      <c r="L11">
        <v>3995.9451781412185</v>
      </c>
      <c r="M11">
        <v>1487.5249194915534</v>
      </c>
      <c r="N11">
        <v>811.07561693946639</v>
      </c>
      <c r="O11">
        <v>4393.5444264988373</v>
      </c>
      <c r="P11">
        <v>999.88375263409671</v>
      </c>
      <c r="Q11">
        <v>796.96680000000003</v>
      </c>
      <c r="R11">
        <v>578.31142731455725</v>
      </c>
      <c r="S11">
        <v>383.5088115696289</v>
      </c>
      <c r="T11">
        <v>472.49759999999998</v>
      </c>
      <c r="U11">
        <v>289.29790095592858</v>
      </c>
      <c r="V11">
        <v>3886.6520823457381</v>
      </c>
      <c r="W11">
        <v>4426.273092872204</v>
      </c>
      <c r="X11">
        <v>2073.1115</v>
      </c>
      <c r="Y11">
        <v>2465.8852117228475</v>
      </c>
      <c r="Z11">
        <v>270.95589999999999</v>
      </c>
      <c r="AA11">
        <v>889.85576514859656</v>
      </c>
      <c r="AB11">
        <v>113.5783340123856</v>
      </c>
      <c r="AC11">
        <v>364.27704583654588</v>
      </c>
      <c r="AD11">
        <v>1825.201</v>
      </c>
      <c r="AE11">
        <v>281.29040561391395</v>
      </c>
      <c r="AF11">
        <v>7194.2150135194897</v>
      </c>
      <c r="AG11">
        <v>179.63910000000001</v>
      </c>
      <c r="AH11">
        <v>13630.791964621245</v>
      </c>
      <c r="AI11">
        <v>2417.8178439113954</v>
      </c>
      <c r="AJ11">
        <v>178.19524293895219</v>
      </c>
      <c r="AK11">
        <v>1876.6094102737597</v>
      </c>
      <c r="AL11">
        <v>586.75667762087789</v>
      </c>
      <c r="AM11">
        <v>2272.5191714321204</v>
      </c>
      <c r="AN11">
        <v>3746.3712150048759</v>
      </c>
      <c r="AO11">
        <v>585.18487657044227</v>
      </c>
      <c r="AP11">
        <v>976.07415608860481</v>
      </c>
      <c r="AQ11">
        <v>153.19252782764502</v>
      </c>
      <c r="AR11">
        <v>964.43550000000005</v>
      </c>
      <c r="AS11">
        <v>14767.512122379121</v>
      </c>
      <c r="AT11">
        <v>1236.7629999999999</v>
      </c>
      <c r="AU11">
        <v>145.83512064503353</v>
      </c>
      <c r="AV11">
        <v>5629.0806297801528</v>
      </c>
      <c r="AW11">
        <v>4814.5978285678802</v>
      </c>
      <c r="AX11">
        <v>1073.8203162135114</v>
      </c>
      <c r="AY11">
        <v>1397.5167782345331</v>
      </c>
      <c r="AZ11">
        <v>156.69501117282644</v>
      </c>
    </row>
  </sheetData>
  <sheetProtection algorithmName="SHA-512" hashValue="nweffEun3b71g+3UUjGV6+BRVOz7mBxMMGRQMkn+3WiiAaFR/NZqZ7yD2ArhTYxjdXmfY6pm7R0V6OvYUtfMjw==" saltValue="8rf3uP4Oqu6YBdr+6SP/ow==" spinCount="100000" sheet="1" objects="1" scenarios="1" selectLockedCells="1" selectUnlockedCell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756F1-3F90-46EB-BADD-CA1108DA1741}">
  <sheetPr codeName="Sheet27"/>
  <dimension ref="A1:BJ11"/>
  <sheetViews>
    <sheetView topLeftCell="AA1" workbookViewId="0">
      <selection activeCell="BB20" sqref="BB20"/>
    </sheetView>
  </sheetViews>
  <sheetFormatPr defaultRowHeight="15"/>
  <sheetData>
    <row r="1" spans="1:62">
      <c r="B1" s="1" t="s">
        <v>1</v>
      </c>
      <c r="C1" s="1" t="s">
        <v>107</v>
      </c>
      <c r="D1" s="1" t="s">
        <v>98</v>
      </c>
      <c r="E1" s="1" t="s">
        <v>93</v>
      </c>
      <c r="F1" s="1" t="s">
        <v>109</v>
      </c>
      <c r="G1" s="1" t="s">
        <v>100</v>
      </c>
      <c r="H1" s="1" t="s">
        <v>54</v>
      </c>
      <c r="I1" s="1" t="s">
        <v>79</v>
      </c>
      <c r="J1" s="16" t="s">
        <v>87</v>
      </c>
      <c r="K1" s="1" t="s">
        <v>81</v>
      </c>
      <c r="L1" s="1" t="s">
        <v>82</v>
      </c>
      <c r="M1" s="1" t="s">
        <v>110</v>
      </c>
      <c r="N1" s="1" t="s">
        <v>101</v>
      </c>
      <c r="O1" s="1" t="s">
        <v>65</v>
      </c>
      <c r="P1" s="1" t="s">
        <v>67</v>
      </c>
      <c r="Q1" s="1" t="s">
        <v>71</v>
      </c>
      <c r="R1" s="1" t="s">
        <v>73</v>
      </c>
      <c r="S1" s="1" t="s">
        <v>90</v>
      </c>
      <c r="T1" s="1" t="s">
        <v>95</v>
      </c>
      <c r="U1" s="1" t="s">
        <v>56</v>
      </c>
      <c r="V1" s="1" t="s">
        <v>83</v>
      </c>
      <c r="W1" s="1" t="s">
        <v>57</v>
      </c>
      <c r="X1" s="1" t="s">
        <v>68</v>
      </c>
      <c r="Y1" s="1" t="s">
        <v>74</v>
      </c>
      <c r="Z1" s="1" t="s">
        <v>91</v>
      </c>
      <c r="AA1" s="1" t="s">
        <v>75</v>
      </c>
      <c r="AB1" s="1" t="s">
        <v>102</v>
      </c>
      <c r="AC1" s="1" t="s">
        <v>76</v>
      </c>
      <c r="AD1" s="1" t="s">
        <v>103</v>
      </c>
      <c r="AE1" s="1" t="s">
        <v>58</v>
      </c>
      <c r="AF1" s="1" t="s">
        <v>61</v>
      </c>
      <c r="AG1" s="1" t="s">
        <v>104</v>
      </c>
      <c r="AH1" s="1" t="s">
        <v>63</v>
      </c>
      <c r="AI1" s="1" t="s">
        <v>84</v>
      </c>
      <c r="AJ1" s="1" t="s">
        <v>77</v>
      </c>
      <c r="AK1" s="1" t="s">
        <v>69</v>
      </c>
      <c r="AL1" s="1" t="s">
        <v>96</v>
      </c>
      <c r="AM1" s="1" t="s">
        <v>111</v>
      </c>
      <c r="AN1" s="1" t="s">
        <v>64</v>
      </c>
      <c r="AO1" s="1" t="s">
        <v>59</v>
      </c>
      <c r="AP1" s="1" t="s">
        <v>85</v>
      </c>
      <c r="AQ1" s="1" t="s">
        <v>78</v>
      </c>
      <c r="AR1" s="1" t="s">
        <v>92</v>
      </c>
      <c r="AS1" s="1" t="s">
        <v>97</v>
      </c>
      <c r="AT1" s="1" t="s">
        <v>105</v>
      </c>
      <c r="AU1" s="1" t="s">
        <v>60</v>
      </c>
      <c r="AV1" s="1" t="s">
        <v>86</v>
      </c>
      <c r="AW1" s="1" t="s">
        <v>112</v>
      </c>
      <c r="AX1" s="1" t="s">
        <v>88</v>
      </c>
      <c r="AY1" s="1" t="s">
        <v>70</v>
      </c>
      <c r="AZ1" s="1" t="s">
        <v>106</v>
      </c>
      <c r="BA1" s="1" t="s">
        <v>40</v>
      </c>
      <c r="BB1" s="1" t="s">
        <v>108</v>
      </c>
      <c r="BC1" s="1" t="s">
        <v>99</v>
      </c>
      <c r="BD1" s="1" t="s">
        <v>72</v>
      </c>
      <c r="BE1" s="1" t="s">
        <v>94</v>
      </c>
      <c r="BF1" s="1" t="s">
        <v>66</v>
      </c>
      <c r="BG1" s="1" t="s">
        <v>89</v>
      </c>
      <c r="BH1" s="1" t="s">
        <v>55</v>
      </c>
      <c r="BI1" s="1" t="s">
        <v>62</v>
      </c>
      <c r="BJ1" s="1" t="s">
        <v>80</v>
      </c>
    </row>
    <row r="2" spans="1:62">
      <c r="A2" s="1">
        <v>2020</v>
      </c>
      <c r="B2">
        <v>1032.072498808765</v>
      </c>
      <c r="C2">
        <v>650.87981505861524</v>
      </c>
      <c r="D2">
        <v>2693.75</v>
      </c>
      <c r="E2">
        <v>589.37729999999999</v>
      </c>
      <c r="F2">
        <v>14579.575700000001</v>
      </c>
      <c r="G2">
        <v>1948.3675477185025</v>
      </c>
      <c r="H2">
        <v>1228.4049473585605</v>
      </c>
      <c r="I2">
        <v>327.88985090931931</v>
      </c>
      <c r="J2">
        <v>316.00299679345585</v>
      </c>
      <c r="K2">
        <v>4880.9306000000006</v>
      </c>
      <c r="L2">
        <v>3210.543501191235</v>
      </c>
      <c r="M2">
        <v>1011.7761849413848</v>
      </c>
      <c r="N2">
        <v>885.20234119621682</v>
      </c>
      <c r="O2">
        <v>4092.5292563878415</v>
      </c>
      <c r="P2">
        <v>2081.1225590343738</v>
      </c>
      <c r="Q2">
        <v>714.06489999999997</v>
      </c>
      <c r="R2">
        <v>1349.8549632297199</v>
      </c>
      <c r="S2">
        <v>846.30261885936864</v>
      </c>
      <c r="T2">
        <v>1004.32</v>
      </c>
      <c r="U2">
        <v>445.09101495540187</v>
      </c>
      <c r="V2">
        <v>2171.7109411668594</v>
      </c>
      <c r="W2">
        <v>2234.5972080244201</v>
      </c>
      <c r="X2">
        <v>4009.8040000000001</v>
      </c>
      <c r="Y2">
        <v>3362.8142532619668</v>
      </c>
      <c r="Z2">
        <v>497.19560000000001</v>
      </c>
      <c r="AA2">
        <v>1615.2326271234192</v>
      </c>
      <c r="AB2">
        <v>122.2821842014406</v>
      </c>
      <c r="AC2">
        <v>886.61126570354998</v>
      </c>
      <c r="AD2">
        <v>761.94079999999997</v>
      </c>
      <c r="AE2">
        <v>467.36398131710865</v>
      </c>
      <c r="AF2">
        <v>2207.8238062097253</v>
      </c>
      <c r="AG2">
        <v>1171.5999999999999</v>
      </c>
      <c r="AH2">
        <v>5215.8858822117072</v>
      </c>
      <c r="AI2">
        <v>3493.9051868003917</v>
      </c>
      <c r="AJ2">
        <v>310.86013502102304</v>
      </c>
      <c r="AK2">
        <v>3103.2915021929211</v>
      </c>
      <c r="AL2">
        <v>4073.0214983596011</v>
      </c>
      <c r="AM2">
        <v>2338.0979013459573</v>
      </c>
      <c r="AN2">
        <v>3106.9458268156486</v>
      </c>
      <c r="AO2">
        <v>313.20095817764889</v>
      </c>
      <c r="AP2">
        <v>1455.1923131996086</v>
      </c>
      <c r="AQ2">
        <v>326.81736966746746</v>
      </c>
      <c r="AR2">
        <v>1500.9449999999999</v>
      </c>
      <c r="AS2">
        <v>8818.2170016403998</v>
      </c>
      <c r="AT2">
        <v>1246.855</v>
      </c>
      <c r="AU2">
        <v>219.97901255586279</v>
      </c>
      <c r="AV2">
        <v>3141.6895148947297</v>
      </c>
      <c r="AW2">
        <v>4527.5230986540428</v>
      </c>
      <c r="AX2">
        <v>617.36697772340085</v>
      </c>
      <c r="AY2">
        <v>2105.6536495183477</v>
      </c>
      <c r="AZ2">
        <v>203.60245228149782</v>
      </c>
      <c r="BA2" s="72">
        <f>SUM(B2:AZ2)</f>
        <v>109516.0855445115</v>
      </c>
      <c r="BB2" s="4">
        <f>C2+F2+M2+AM2+AW2</f>
        <v>23107.852700000003</v>
      </c>
      <c r="BC2" s="4">
        <f>D2+G2+N2+AB2+AD2+AG2+AT2+AZ2</f>
        <v>9033.6003253976578</v>
      </c>
      <c r="BD2" s="4">
        <f>Q2+R2+Y2+AA2+AC2+AJ2+AQ2</f>
        <v>8566.2555140071472</v>
      </c>
      <c r="BE2" s="4">
        <f>E2+T2+AL2+AS2</f>
        <v>14484.935800000001</v>
      </c>
      <c r="BF2" s="4">
        <f>O2+P2+X2+AK2+AY2</f>
        <v>15392.400967133484</v>
      </c>
      <c r="BG2" s="4">
        <f>B2+S2+Z2+AR2</f>
        <v>3876.5157176681332</v>
      </c>
      <c r="BH2" s="4">
        <f>H2+U2+W2+AE2+AO2+AU2</f>
        <v>4908.6371223890037</v>
      </c>
      <c r="BI2" s="4">
        <f>AF2+AH2+AN2</f>
        <v>10530.655515237082</v>
      </c>
      <c r="BJ2" s="73">
        <f>I2+K2+J2+L2+V2+AI2+AP2+AV2+AX2</f>
        <v>19615.231882679</v>
      </c>
    </row>
    <row r="3" spans="1:62">
      <c r="A3" s="1">
        <v>2021</v>
      </c>
      <c r="B3">
        <v>884.6279917895838</v>
      </c>
      <c r="C3">
        <v>953.75743489546005</v>
      </c>
      <c r="D3">
        <v>3518.81</v>
      </c>
      <c r="E3">
        <v>522.07259999999997</v>
      </c>
      <c r="F3">
        <v>16105.150600000001</v>
      </c>
      <c r="G3">
        <v>2400.4193160881723</v>
      </c>
      <c r="H3">
        <v>1040.8242087396281</v>
      </c>
      <c r="I3">
        <v>326.74622093204192</v>
      </c>
      <c r="J3">
        <v>312.44625460074695</v>
      </c>
      <c r="K3">
        <v>5686.7855</v>
      </c>
      <c r="L3">
        <v>2848.608308210416</v>
      </c>
      <c r="M3">
        <v>1489.7605651045401</v>
      </c>
      <c r="N3">
        <v>892.46624067959601</v>
      </c>
      <c r="O3">
        <v>4750.2109911376401</v>
      </c>
      <c r="P3">
        <v>2489.019822574498</v>
      </c>
      <c r="Q3">
        <v>1112.865</v>
      </c>
      <c r="R3">
        <v>1983.3217780713708</v>
      </c>
      <c r="S3">
        <v>1000.0216335475208</v>
      </c>
      <c r="T3">
        <v>1419.7090000000001</v>
      </c>
      <c r="U3">
        <v>262.49046890710792</v>
      </c>
      <c r="V3">
        <v>2222.6841625899287</v>
      </c>
      <c r="W3">
        <v>1938.676508227491</v>
      </c>
      <c r="X3">
        <v>3082.3509999999997</v>
      </c>
      <c r="Y3">
        <v>2799.055912910103</v>
      </c>
      <c r="Z3">
        <v>264.44959999999998</v>
      </c>
      <c r="AA3">
        <v>2824.514887129596</v>
      </c>
      <c r="AB3">
        <v>123.8624391596893</v>
      </c>
      <c r="AC3">
        <v>1330.3794748790342</v>
      </c>
      <c r="AD3">
        <v>1340.431</v>
      </c>
      <c r="AE3">
        <v>272.09337529623247</v>
      </c>
      <c r="AF3">
        <v>2256.2263798630752</v>
      </c>
      <c r="AG3">
        <v>1022.56</v>
      </c>
      <c r="AH3">
        <v>5288.9950457354626</v>
      </c>
      <c r="AI3">
        <v>3598.0132499458114</v>
      </c>
      <c r="AJ3">
        <v>485.09149665076598</v>
      </c>
      <c r="AK3">
        <v>3917.7520640384855</v>
      </c>
      <c r="AL3">
        <v>5264.7995592358011</v>
      </c>
      <c r="AM3">
        <v>1729.8193768743397</v>
      </c>
      <c r="AN3">
        <v>4096.0173019761514</v>
      </c>
      <c r="AO3">
        <v>278.44292779384614</v>
      </c>
      <c r="AP3">
        <v>1533.6831500541884</v>
      </c>
      <c r="AQ3">
        <v>492.70921127284208</v>
      </c>
      <c r="AR3">
        <v>1738.01</v>
      </c>
      <c r="AS3">
        <v>7078.317340764198</v>
      </c>
      <c r="AT3">
        <v>1585.62</v>
      </c>
      <c r="AU3">
        <v>129.27526625069333</v>
      </c>
      <c r="AV3">
        <v>3220.885967096794</v>
      </c>
      <c r="AW3">
        <v>3357.6956231256604</v>
      </c>
      <c r="AX3">
        <v>628.68376664921254</v>
      </c>
      <c r="AY3">
        <v>2646.1138277881437</v>
      </c>
      <c r="AZ3">
        <v>250.48668391182753</v>
      </c>
      <c r="BA3" s="72">
        <f t="shared" ref="BA3:BA10" si="0">SUM(B3:AZ3)</f>
        <v>116797.81053449769</v>
      </c>
      <c r="BB3" s="4">
        <f t="shared" ref="BB3:BB10" si="1">C3+F3+M3+AM3+AW3</f>
        <v>23636.1836</v>
      </c>
      <c r="BC3" s="4">
        <f t="shared" ref="BC3:BC10" si="2">D3+G3+N3+AB3+AD3+AG3+AT3+AZ3</f>
        <v>11134.655679839287</v>
      </c>
      <c r="BD3" s="4">
        <f t="shared" ref="BD3:BD10" si="3">Q3+R3+Y3+AA3+AC3+AJ3+AQ3</f>
        <v>11027.937760913712</v>
      </c>
      <c r="BE3" s="4">
        <f t="shared" ref="BE3:BE10" si="4">E3+T3+AL3+AS3</f>
        <v>14284.898499999999</v>
      </c>
      <c r="BF3" s="4">
        <f t="shared" ref="BF3:BF10" si="5">O3+P3+X3+AK3+AY3</f>
        <v>16885.447705538769</v>
      </c>
      <c r="BG3" s="4">
        <f t="shared" ref="BG3:BG10" si="6">B3+S3+Z3+AR3</f>
        <v>3887.1092253371044</v>
      </c>
      <c r="BH3" s="4">
        <f t="shared" ref="BH3:BH10" si="7">H3+U3+W3+AE3+AO3+AU3</f>
        <v>3921.8027552149988</v>
      </c>
      <c r="BI3" s="4">
        <f t="shared" ref="BI3:BI10" si="8">AF3+AH3+AN3</f>
        <v>11641.23872757469</v>
      </c>
      <c r="BJ3" s="73">
        <f t="shared" ref="BJ3:BJ10" si="9">I3+K3+J3+L3+V3+AI3+AP3+AV3+AX3</f>
        <v>20378.536580079141</v>
      </c>
    </row>
    <row r="4" spans="1:62">
      <c r="A4" s="1">
        <v>2022</v>
      </c>
      <c r="B4">
        <v>901.58851652705698</v>
      </c>
      <c r="C4">
        <v>846.70840939573782</v>
      </c>
      <c r="D4">
        <v>3205.6610000000001</v>
      </c>
      <c r="E4">
        <v>494.55009999999999</v>
      </c>
      <c r="F4">
        <v>17175.120999999999</v>
      </c>
      <c r="G4">
        <v>2121.8409898731707</v>
      </c>
      <c r="H4">
        <v>1023.6023738428428</v>
      </c>
      <c r="I4">
        <v>404.3508326701272</v>
      </c>
      <c r="J4">
        <v>409.70910320289664</v>
      </c>
      <c r="K4">
        <v>5101.9665000000005</v>
      </c>
      <c r="L4">
        <v>3185.9041834729433</v>
      </c>
      <c r="M4">
        <v>1357.4165906042622</v>
      </c>
      <c r="N4">
        <v>1044.7586383227115</v>
      </c>
      <c r="O4">
        <v>3431.6961233863099</v>
      </c>
      <c r="P4">
        <v>1826.0339894455064</v>
      </c>
      <c r="Q4">
        <v>714.88930000000005</v>
      </c>
      <c r="R4">
        <v>1401.3119932130446</v>
      </c>
      <c r="S4">
        <v>1341.6703457179619</v>
      </c>
      <c r="T4">
        <v>1386.6610000000001</v>
      </c>
      <c r="U4">
        <v>382.03757650483578</v>
      </c>
      <c r="V4">
        <v>2728.9843286202513</v>
      </c>
      <c r="W4">
        <v>1896.0337572134872</v>
      </c>
      <c r="X4">
        <v>4676.2960000000003</v>
      </c>
      <c r="Y4">
        <v>2810.6815795258572</v>
      </c>
      <c r="Z4">
        <v>653.15089999999998</v>
      </c>
      <c r="AA4">
        <v>3490.3484293820429</v>
      </c>
      <c r="AB4">
        <v>143.74862281568872</v>
      </c>
      <c r="AC4">
        <v>925.13336308473413</v>
      </c>
      <c r="AD4">
        <v>1506.9280000000001</v>
      </c>
      <c r="AE4">
        <v>389.31437428357054</v>
      </c>
      <c r="AF4">
        <v>2543.5126579894049</v>
      </c>
      <c r="AG4">
        <v>1185.521</v>
      </c>
      <c r="AH4">
        <v>4945.9598371905731</v>
      </c>
      <c r="AI4">
        <v>3787.0172463390882</v>
      </c>
      <c r="AJ4">
        <v>344.65960667592651</v>
      </c>
      <c r="AK4">
        <v>4592.9902503006251</v>
      </c>
      <c r="AL4">
        <v>3762.1050610216489</v>
      </c>
      <c r="AM4">
        <v>2576.0139545693264</v>
      </c>
      <c r="AN4">
        <v>5256.5126102808317</v>
      </c>
      <c r="AO4">
        <v>268.55738481525054</v>
      </c>
      <c r="AP4">
        <v>1259.3008536609123</v>
      </c>
      <c r="AQ4">
        <v>361.92537534653172</v>
      </c>
      <c r="AR4">
        <v>1450.43</v>
      </c>
      <c r="AS4">
        <v>8298.7119389783511</v>
      </c>
      <c r="AT4">
        <v>1761.1679999999999</v>
      </c>
      <c r="AU4">
        <v>191.38078018854623</v>
      </c>
      <c r="AV4">
        <v>3920.7053093348359</v>
      </c>
      <c r="AW4">
        <v>5052.7450454306736</v>
      </c>
      <c r="AX4">
        <v>753.90335951376233</v>
      </c>
      <c r="AY4">
        <v>1698.5373439214584</v>
      </c>
      <c r="AZ4">
        <v>229.01501012682937</v>
      </c>
      <c r="BA4" s="72">
        <f t="shared" si="0"/>
        <v>121218.77054678959</v>
      </c>
      <c r="BB4" s="4">
        <f t="shared" si="1"/>
        <v>27008.005000000001</v>
      </c>
      <c r="BC4" s="4">
        <f t="shared" si="2"/>
        <v>11198.6412611384</v>
      </c>
      <c r="BD4" s="4">
        <f t="shared" si="3"/>
        <v>10048.949647228137</v>
      </c>
      <c r="BE4" s="4">
        <f t="shared" si="4"/>
        <v>13942.0281</v>
      </c>
      <c r="BF4" s="4">
        <f t="shared" si="5"/>
        <v>16225.553707053899</v>
      </c>
      <c r="BG4" s="4">
        <f t="shared" si="6"/>
        <v>4346.8397622450193</v>
      </c>
      <c r="BH4" s="4">
        <f t="shared" si="7"/>
        <v>4150.9262468485331</v>
      </c>
      <c r="BI4" s="4">
        <f t="shared" si="8"/>
        <v>12745.98510546081</v>
      </c>
      <c r="BJ4" s="73">
        <f t="shared" si="9"/>
        <v>21551.841716814819</v>
      </c>
    </row>
    <row r="5" spans="1:62">
      <c r="A5" s="1">
        <v>2023</v>
      </c>
      <c r="B5">
        <v>1086.2513922653191</v>
      </c>
      <c r="C5">
        <v>1133.1494789715612</v>
      </c>
      <c r="D5">
        <v>3739.672</v>
      </c>
      <c r="E5">
        <v>659.98360000000002</v>
      </c>
      <c r="F5">
        <v>17260.82</v>
      </c>
      <c r="G5">
        <v>2669.8446744714429</v>
      </c>
      <c r="H5">
        <v>1615.2649369584367</v>
      </c>
      <c r="I5">
        <v>369.43389376618268</v>
      </c>
      <c r="J5">
        <v>344.13968650732846</v>
      </c>
      <c r="K5">
        <v>4523.0254999999997</v>
      </c>
      <c r="L5">
        <v>3415.1586077346806</v>
      </c>
      <c r="M5">
        <v>1802.7045210284386</v>
      </c>
      <c r="N5">
        <v>1193.0846637852592</v>
      </c>
      <c r="O5">
        <v>3367.4432385103664</v>
      </c>
      <c r="P5">
        <v>2343.163471872082</v>
      </c>
      <c r="Q5">
        <v>932.53560000000004</v>
      </c>
      <c r="R5">
        <v>1294.0340656057854</v>
      </c>
      <c r="S5">
        <v>1486.3192051464623</v>
      </c>
      <c r="T5">
        <v>1638.402</v>
      </c>
      <c r="U5">
        <v>445.81242406552713</v>
      </c>
      <c r="V5">
        <v>2491.3724464893535</v>
      </c>
      <c r="W5">
        <v>3087.3472700004168</v>
      </c>
      <c r="X5">
        <v>3023.895</v>
      </c>
      <c r="Y5">
        <v>2871.0987863908413</v>
      </c>
      <c r="Z5">
        <v>481.5967</v>
      </c>
      <c r="AA5">
        <v>2259.312505356057</v>
      </c>
      <c r="AB5">
        <v>170.58668684336692</v>
      </c>
      <c r="AC5">
        <v>853.52111078805115</v>
      </c>
      <c r="AD5">
        <v>1437.04</v>
      </c>
      <c r="AE5">
        <v>459.21481433931058</v>
      </c>
      <c r="AF5">
        <v>2297.7908133843512</v>
      </c>
      <c r="AG5">
        <v>1108.2470000000001</v>
      </c>
      <c r="AH5">
        <v>5484.2257953724102</v>
      </c>
      <c r="AI5">
        <v>4219.6468132433956</v>
      </c>
      <c r="AJ5">
        <v>341.02908211249724</v>
      </c>
      <c r="AK5">
        <v>4027.7109606560871</v>
      </c>
      <c r="AL5">
        <v>4480.3502111113266</v>
      </c>
      <c r="AM5">
        <v>2833.4357354918138</v>
      </c>
      <c r="AN5">
        <v>4116.9087750835224</v>
      </c>
      <c r="AO5">
        <v>431.39288528399101</v>
      </c>
      <c r="AP5">
        <v>1610.5191867566045</v>
      </c>
      <c r="AQ5">
        <v>332.46512585190749</v>
      </c>
      <c r="AR5">
        <v>1476.6590000000001</v>
      </c>
      <c r="AS5">
        <v>9609.2676888886745</v>
      </c>
      <c r="AT5">
        <v>1213.1980000000001</v>
      </c>
      <c r="AU5">
        <v>217.87432666754054</v>
      </c>
      <c r="AV5">
        <v>3550.4272366902178</v>
      </c>
      <c r="AW5">
        <v>5527.8212645081849</v>
      </c>
      <c r="AX5">
        <v>665.51055301956319</v>
      </c>
      <c r="AY5">
        <v>2936.2367477098628</v>
      </c>
      <c r="AZ5">
        <v>291.12732552855692</v>
      </c>
      <c r="BA5" s="72">
        <f t="shared" si="0"/>
        <v>125227.07280825675</v>
      </c>
      <c r="BB5" s="4">
        <f t="shared" si="1"/>
        <v>28557.930999999997</v>
      </c>
      <c r="BC5" s="4">
        <f t="shared" si="2"/>
        <v>11822.800350628626</v>
      </c>
      <c r="BD5" s="4">
        <f t="shared" si="3"/>
        <v>8883.9962761051393</v>
      </c>
      <c r="BE5" s="4">
        <f t="shared" si="4"/>
        <v>16388.003499999999</v>
      </c>
      <c r="BF5" s="4">
        <f t="shared" si="5"/>
        <v>15698.449418748398</v>
      </c>
      <c r="BG5" s="4">
        <f t="shared" si="6"/>
        <v>4530.8262974117815</v>
      </c>
      <c r="BH5" s="4">
        <f t="shared" si="7"/>
        <v>6256.9066573152222</v>
      </c>
      <c r="BI5" s="4">
        <f t="shared" si="8"/>
        <v>11898.925383840284</v>
      </c>
      <c r="BJ5" s="73">
        <f t="shared" si="9"/>
        <v>21189.233924207321</v>
      </c>
    </row>
    <row r="6" spans="1:62">
      <c r="A6" s="1">
        <v>2024</v>
      </c>
      <c r="B6">
        <v>1013.2916234180096</v>
      </c>
      <c r="C6">
        <v>804.13390470854529</v>
      </c>
      <c r="D6">
        <v>2931.6059999999998</v>
      </c>
      <c r="E6">
        <v>582.39369999999997</v>
      </c>
      <c r="F6">
        <v>16225.768</v>
      </c>
      <c r="G6">
        <v>3003.6210669215693</v>
      </c>
      <c r="H6">
        <v>1229.977144549674</v>
      </c>
      <c r="I6">
        <v>360.30575871375737</v>
      </c>
      <c r="J6">
        <v>345.13924726304668</v>
      </c>
      <c r="K6">
        <v>5743.9220000000005</v>
      </c>
      <c r="L6">
        <v>3705.9083765819905</v>
      </c>
      <c r="M6">
        <v>1312.9410952914548</v>
      </c>
      <c r="N6">
        <v>1460.664646952356</v>
      </c>
      <c r="O6">
        <v>4269.2463601445279</v>
      </c>
      <c r="P6">
        <v>2158.4613686553803</v>
      </c>
      <c r="Q6">
        <v>759.73990000000003</v>
      </c>
      <c r="R6">
        <v>1399.0223744520281</v>
      </c>
      <c r="S6">
        <v>1852.4735862611315</v>
      </c>
      <c r="T6">
        <v>1129.4090000000001</v>
      </c>
      <c r="U6">
        <v>340.95104821771679</v>
      </c>
      <c r="V6">
        <v>2542.7746105936967</v>
      </c>
      <c r="W6">
        <v>2370.6857127627991</v>
      </c>
      <c r="X6">
        <v>4290.652</v>
      </c>
      <c r="Y6">
        <v>2098.7459964360737</v>
      </c>
      <c r="Z6">
        <v>601.83939999999996</v>
      </c>
      <c r="AA6">
        <v>3034.1714229013387</v>
      </c>
      <c r="AB6">
        <v>199.03640556752305</v>
      </c>
      <c r="AC6">
        <v>848.22926936562692</v>
      </c>
      <c r="AD6">
        <v>1455.7159999999999</v>
      </c>
      <c r="AE6">
        <v>343.17293485441422</v>
      </c>
      <c r="AF6">
        <v>3064.3107806488015</v>
      </c>
      <c r="AG6">
        <v>1335.63</v>
      </c>
      <c r="AH6">
        <v>7649.1620135761441</v>
      </c>
      <c r="AI6">
        <v>3963.404809216353</v>
      </c>
      <c r="AJ6">
        <v>371.52200325854346</v>
      </c>
      <c r="AK6">
        <v>4664.8093522160761</v>
      </c>
      <c r="AL6">
        <v>4324.7530301510487</v>
      </c>
      <c r="AM6">
        <v>2364.6723358357222</v>
      </c>
      <c r="AN6">
        <v>4764.8828038885576</v>
      </c>
      <c r="AO6">
        <v>332.76827491046134</v>
      </c>
      <c r="AP6">
        <v>1395.0659907836473</v>
      </c>
      <c r="AQ6">
        <v>361.68892023860923</v>
      </c>
      <c r="AR6">
        <v>1528.1949999999999</v>
      </c>
      <c r="AS6">
        <v>11049.717269848952</v>
      </c>
      <c r="AT6">
        <v>1696.0730000000001</v>
      </c>
      <c r="AU6">
        <v>170.07820460745714</v>
      </c>
      <c r="AV6">
        <v>3594.4143119149421</v>
      </c>
      <c r="AW6">
        <v>4651.6426641642774</v>
      </c>
      <c r="AX6">
        <v>673.97132649511013</v>
      </c>
      <c r="AY6">
        <v>2202.5489460706626</v>
      </c>
      <c r="AZ6">
        <v>331.41693307843047</v>
      </c>
      <c r="BA6" s="72">
        <f t="shared" si="0"/>
        <v>128904.72792551648</v>
      </c>
      <c r="BB6" s="4">
        <f t="shared" si="1"/>
        <v>25359.158000000003</v>
      </c>
      <c r="BC6" s="4">
        <f t="shared" si="2"/>
        <v>12413.764052519879</v>
      </c>
      <c r="BD6" s="4">
        <f t="shared" si="3"/>
        <v>8873.1198866522209</v>
      </c>
      <c r="BE6" s="4">
        <f t="shared" si="4"/>
        <v>17086.273000000001</v>
      </c>
      <c r="BF6" s="4">
        <f t="shared" si="5"/>
        <v>17585.718027086645</v>
      </c>
      <c r="BG6" s="4">
        <f t="shared" si="6"/>
        <v>4995.7996096791412</v>
      </c>
      <c r="BH6" s="4">
        <f t="shared" si="7"/>
        <v>4787.633319902523</v>
      </c>
      <c r="BI6" s="4">
        <f t="shared" si="8"/>
        <v>15478.355598113503</v>
      </c>
      <c r="BJ6" s="73">
        <f t="shared" si="9"/>
        <v>22324.906431562544</v>
      </c>
    </row>
    <row r="7" spans="1:62">
      <c r="A7" s="1">
        <v>2025</v>
      </c>
      <c r="B7">
        <v>1530.1413196417191</v>
      </c>
      <c r="C7">
        <v>754.82930206261869</v>
      </c>
      <c r="D7">
        <v>3310.712</v>
      </c>
      <c r="E7">
        <v>528.26620000000003</v>
      </c>
      <c r="F7">
        <v>20255.269</v>
      </c>
      <c r="G7">
        <v>3504.5808465922892</v>
      </c>
      <c r="H7">
        <v>1682.6212641742511</v>
      </c>
      <c r="I7">
        <v>433.97620915663481</v>
      </c>
      <c r="J7">
        <v>373.19964505822151</v>
      </c>
      <c r="K7">
        <v>6743.1120000000001</v>
      </c>
      <c r="L7">
        <v>3663.5816803582811</v>
      </c>
      <c r="M7">
        <v>1179.7606979373809</v>
      </c>
      <c r="N7">
        <v>1383.625561917954</v>
      </c>
      <c r="O7">
        <v>4235.9476341107711</v>
      </c>
      <c r="P7">
        <v>2379.3721401315843</v>
      </c>
      <c r="Q7">
        <v>1298.078</v>
      </c>
      <c r="R7">
        <v>1288.7600242535848</v>
      </c>
      <c r="S7">
        <v>1212.8105530595383</v>
      </c>
      <c r="T7">
        <v>1871.6</v>
      </c>
      <c r="U7">
        <v>338.78639728988009</v>
      </c>
      <c r="V7">
        <v>2936.6205529629078</v>
      </c>
      <c r="W7">
        <v>3248.6892262766428</v>
      </c>
      <c r="X7">
        <v>4188.5540000000001</v>
      </c>
      <c r="Y7">
        <v>2992.5723398349646</v>
      </c>
      <c r="Z7">
        <v>678.95119999999997</v>
      </c>
      <c r="AA7">
        <v>2542.8477998190101</v>
      </c>
      <c r="AB7">
        <v>190.05956419321146</v>
      </c>
      <c r="AC7">
        <v>817.03323121116057</v>
      </c>
      <c r="AD7">
        <v>1187.463</v>
      </c>
      <c r="AE7">
        <v>341.77028819940585</v>
      </c>
      <c r="AF7">
        <v>3998.087911210896</v>
      </c>
      <c r="AG7">
        <v>1173.0550000000001</v>
      </c>
      <c r="AH7">
        <v>8761.832175883912</v>
      </c>
      <c r="AI7">
        <v>4123.3204677277527</v>
      </c>
      <c r="AJ7">
        <v>335.01744851688477</v>
      </c>
      <c r="AK7">
        <v>4618.8704646590759</v>
      </c>
      <c r="AL7">
        <v>4076.8590762047088</v>
      </c>
      <c r="AM7">
        <v>2603.1647387387743</v>
      </c>
      <c r="AN7">
        <v>5440.5988828396048</v>
      </c>
      <c r="AO7">
        <v>444.12869299320005</v>
      </c>
      <c r="AP7">
        <v>1903.028532272247</v>
      </c>
      <c r="AQ7">
        <v>327.97299547410029</v>
      </c>
      <c r="AR7">
        <v>1809.2909999999999</v>
      </c>
      <c r="AS7">
        <v>9360.4311237952916</v>
      </c>
      <c r="AT7">
        <v>1948.8040000000001</v>
      </c>
      <c r="AU7">
        <v>169.18269762136825</v>
      </c>
      <c r="AV7">
        <v>4175.6496763511695</v>
      </c>
      <c r="AW7">
        <v>5232.1612612612262</v>
      </c>
      <c r="AX7">
        <v>798.72572156389924</v>
      </c>
      <c r="AY7">
        <v>3035.4264689293254</v>
      </c>
      <c r="AZ7">
        <v>410.49015340771064</v>
      </c>
      <c r="BA7" s="72">
        <f t="shared" si="0"/>
        <v>141839.69016769319</v>
      </c>
      <c r="BB7" s="4">
        <f t="shared" si="1"/>
        <v>30025.185000000001</v>
      </c>
      <c r="BC7" s="4">
        <f t="shared" si="2"/>
        <v>13108.790126111166</v>
      </c>
      <c r="BD7" s="4">
        <f t="shared" si="3"/>
        <v>9602.2818391097044</v>
      </c>
      <c r="BE7" s="4">
        <f t="shared" si="4"/>
        <v>15837.1564</v>
      </c>
      <c r="BF7" s="4">
        <f t="shared" si="5"/>
        <v>18458.170707830755</v>
      </c>
      <c r="BG7" s="4">
        <f t="shared" si="6"/>
        <v>5231.194072701257</v>
      </c>
      <c r="BH7" s="4">
        <f t="shared" si="7"/>
        <v>6225.1785665547477</v>
      </c>
      <c r="BI7" s="4">
        <f t="shared" si="8"/>
        <v>18200.518969934412</v>
      </c>
      <c r="BJ7" s="73">
        <f t="shared" si="9"/>
        <v>25151.214485451117</v>
      </c>
    </row>
    <row r="8" spans="1:62">
      <c r="A8" s="1">
        <v>2026</v>
      </c>
      <c r="B8">
        <v>1159.1896511692312</v>
      </c>
      <c r="C8">
        <v>923.04586193440502</v>
      </c>
      <c r="D8">
        <v>3554.6400000000003</v>
      </c>
      <c r="E8">
        <v>986.80439999999999</v>
      </c>
      <c r="F8">
        <v>20560.108999999997</v>
      </c>
      <c r="G8">
        <v>3138.646056567934</v>
      </c>
      <c r="H8">
        <v>1374.9593750743468</v>
      </c>
      <c r="I8">
        <v>436.14520756252057</v>
      </c>
      <c r="J8">
        <v>426.30284718950566</v>
      </c>
      <c r="K8">
        <v>6616.55</v>
      </c>
      <c r="L8">
        <v>4549.9253488307695</v>
      </c>
      <c r="M8">
        <v>1415.6851380655955</v>
      </c>
      <c r="N8">
        <v>1051.9947328939909</v>
      </c>
      <c r="O8">
        <v>4303.3788112036254</v>
      </c>
      <c r="P8">
        <v>2953.1850116401761</v>
      </c>
      <c r="Q8">
        <v>1095.242</v>
      </c>
      <c r="R8">
        <v>2063.8293643520014</v>
      </c>
      <c r="S8">
        <v>1418.144463109682</v>
      </c>
      <c r="T8">
        <v>2074.9780000000001</v>
      </c>
      <c r="U8">
        <v>535.47931227377649</v>
      </c>
      <c r="V8">
        <v>2994.1941011840336</v>
      </c>
      <c r="W8">
        <v>2690.2323102424671</v>
      </c>
      <c r="X8">
        <v>2858.3050000000003</v>
      </c>
      <c r="Y8">
        <v>3095.2489162900602</v>
      </c>
      <c r="Z8">
        <v>404.30029999999999</v>
      </c>
      <c r="AA8">
        <v>2988.9032741241949</v>
      </c>
      <c r="AB8">
        <v>145.26697822984488</v>
      </c>
      <c r="AC8">
        <v>1328.4585956497754</v>
      </c>
      <c r="AD8">
        <v>1378.1790000000001</v>
      </c>
      <c r="AE8">
        <v>532.98428301127194</v>
      </c>
      <c r="AF8">
        <v>3508.6975738614624</v>
      </c>
      <c r="AG8">
        <v>1372.6980000000001</v>
      </c>
      <c r="AH8">
        <v>7642.5960775806461</v>
      </c>
      <c r="AI8">
        <v>4619.1955985196073</v>
      </c>
      <c r="AJ8">
        <v>546.13733831489571</v>
      </c>
      <c r="AK8">
        <v>5433.7521140390118</v>
      </c>
      <c r="AL8">
        <v>4419.3229327935333</v>
      </c>
      <c r="AM8">
        <v>2602.6076783719186</v>
      </c>
      <c r="AN8">
        <v>4773.291468503824</v>
      </c>
      <c r="AO8">
        <v>358.96514172733367</v>
      </c>
      <c r="AP8">
        <v>1641.4964014803927</v>
      </c>
      <c r="AQ8">
        <v>525.5339011075132</v>
      </c>
      <c r="AR8">
        <v>2004.2339999999999</v>
      </c>
      <c r="AS8">
        <v>11139.235267206464</v>
      </c>
      <c r="AT8">
        <v>2284.5920000000001</v>
      </c>
      <c r="AU8">
        <v>261.05564104344273</v>
      </c>
      <c r="AV8">
        <v>4309.7256404065929</v>
      </c>
      <c r="AW8">
        <v>5379.678321628081</v>
      </c>
      <c r="AX8">
        <v>832.47191512427241</v>
      </c>
      <c r="AY8">
        <v>2919.229610169064</v>
      </c>
      <c r="AZ8">
        <v>367.35794343206595</v>
      </c>
      <c r="BA8" s="72">
        <f t="shared" si="0"/>
        <v>145996.18190590932</v>
      </c>
      <c r="BB8" s="4">
        <f t="shared" si="1"/>
        <v>30881.126</v>
      </c>
      <c r="BC8" s="4">
        <f t="shared" si="2"/>
        <v>13293.374711123837</v>
      </c>
      <c r="BD8" s="4">
        <f t="shared" si="3"/>
        <v>11643.353389838443</v>
      </c>
      <c r="BE8" s="4">
        <f t="shared" si="4"/>
        <v>18620.340599999996</v>
      </c>
      <c r="BF8" s="4">
        <f t="shared" si="5"/>
        <v>18467.850547051876</v>
      </c>
      <c r="BG8" s="4">
        <f t="shared" si="6"/>
        <v>4985.8684142789134</v>
      </c>
      <c r="BH8" s="4">
        <f t="shared" si="7"/>
        <v>5753.676063372639</v>
      </c>
      <c r="BI8" s="4">
        <f t="shared" si="8"/>
        <v>15924.585119945932</v>
      </c>
      <c r="BJ8" s="73">
        <f t="shared" si="9"/>
        <v>26426.007060297692</v>
      </c>
    </row>
    <row r="9" spans="1:62">
      <c r="A9" s="1">
        <v>2027</v>
      </c>
      <c r="B9">
        <v>1404.4508149336855</v>
      </c>
      <c r="C9">
        <v>575.20697185603024</v>
      </c>
      <c r="D9">
        <v>3795.8620000000001</v>
      </c>
      <c r="E9">
        <v>696.8777</v>
      </c>
      <c r="F9">
        <v>20528.260000000002</v>
      </c>
      <c r="G9">
        <v>2702.2493412118192</v>
      </c>
      <c r="H9">
        <v>1195.6047873379118</v>
      </c>
      <c r="I9">
        <v>460.02051476471468</v>
      </c>
      <c r="J9">
        <v>430.11514214286649</v>
      </c>
      <c r="K9">
        <v>6000.1993999999995</v>
      </c>
      <c r="L9">
        <v>3998.0801850663147</v>
      </c>
      <c r="M9">
        <v>881.21302814396984</v>
      </c>
      <c r="N9">
        <v>1310.9074965806892</v>
      </c>
      <c r="O9">
        <v>4052.2960884954596</v>
      </c>
      <c r="P9">
        <v>1883.1759522306318</v>
      </c>
      <c r="Q9">
        <v>1418.442</v>
      </c>
      <c r="R9">
        <v>1640.5551609682941</v>
      </c>
      <c r="S9">
        <v>1203.7778487657911</v>
      </c>
      <c r="T9">
        <v>1836.048</v>
      </c>
      <c r="U9">
        <v>357.01197768560678</v>
      </c>
      <c r="V9">
        <v>3167.2069168788034</v>
      </c>
      <c r="W9">
        <v>2350.2804606868372</v>
      </c>
      <c r="X9">
        <v>3840.6139999999996</v>
      </c>
      <c r="Y9">
        <v>2844.0351399062679</v>
      </c>
      <c r="Z9">
        <v>591.28790000000004</v>
      </c>
      <c r="AA9">
        <v>2902.5797701130218</v>
      </c>
      <c r="AB9">
        <v>184.44390480869438</v>
      </c>
      <c r="AC9">
        <v>1033.1390589118273</v>
      </c>
      <c r="AD9">
        <v>1203.8240000000001</v>
      </c>
      <c r="AE9">
        <v>355.60482134015734</v>
      </c>
      <c r="AF9">
        <v>3515.48215902522</v>
      </c>
      <c r="AG9">
        <v>1030.2190000000001</v>
      </c>
      <c r="AH9">
        <v>7346.4658016317298</v>
      </c>
      <c r="AI9">
        <v>3920.7059761938299</v>
      </c>
      <c r="AJ9">
        <v>448.96801212569324</v>
      </c>
      <c r="AK9">
        <v>5224.6277676320451</v>
      </c>
      <c r="AL9">
        <v>3915.7076349881531</v>
      </c>
      <c r="AM9">
        <v>2211.7939663630864</v>
      </c>
      <c r="AN9">
        <v>6064.578967487013</v>
      </c>
      <c r="AO9">
        <v>315.0613683705709</v>
      </c>
      <c r="AP9">
        <v>1949.8340238061705</v>
      </c>
      <c r="AQ9">
        <v>422.21305003713189</v>
      </c>
      <c r="AR9">
        <v>1257.2239999999999</v>
      </c>
      <c r="AS9">
        <v>7267.7330650118465</v>
      </c>
      <c r="AT9">
        <v>1816.5650000000001</v>
      </c>
      <c r="AU9">
        <v>185.11114847203683</v>
      </c>
      <c r="AV9">
        <v>4535.7337396629728</v>
      </c>
      <c r="AW9">
        <v>4586.8390336369139</v>
      </c>
      <c r="AX9">
        <v>858.87541485483132</v>
      </c>
      <c r="AY9">
        <v>1687.6928508138355</v>
      </c>
      <c r="AZ9">
        <v>312.09965878818099</v>
      </c>
      <c r="BA9" s="72">
        <f t="shared" si="0"/>
        <v>133716.90202173061</v>
      </c>
      <c r="BB9" s="4">
        <f t="shared" si="1"/>
        <v>28783.313000000002</v>
      </c>
      <c r="BC9" s="4">
        <f t="shared" si="2"/>
        <v>12356.170401389385</v>
      </c>
      <c r="BD9" s="4">
        <f t="shared" si="3"/>
        <v>10709.932192062235</v>
      </c>
      <c r="BE9" s="4">
        <f t="shared" si="4"/>
        <v>13716.366399999999</v>
      </c>
      <c r="BF9" s="4">
        <f t="shared" si="5"/>
        <v>16688.406659171975</v>
      </c>
      <c r="BG9" s="4">
        <f t="shared" si="6"/>
        <v>4456.7405636994772</v>
      </c>
      <c r="BH9" s="4">
        <f t="shared" si="7"/>
        <v>4758.6745638931206</v>
      </c>
      <c r="BI9" s="4">
        <f t="shared" si="8"/>
        <v>16926.526928143961</v>
      </c>
      <c r="BJ9" s="73">
        <f t="shared" si="9"/>
        <v>25320.771313370507</v>
      </c>
    </row>
    <row r="10" spans="1:62">
      <c r="A10" s="1">
        <v>2028</v>
      </c>
      <c r="B10">
        <v>1524.3572660247657</v>
      </c>
      <c r="C10">
        <v>730.84270813403919</v>
      </c>
      <c r="D10">
        <v>3156.4120000000003</v>
      </c>
      <c r="E10">
        <v>860.79870000000005</v>
      </c>
      <c r="F10">
        <v>17317.688000000002</v>
      </c>
      <c r="G10">
        <v>3090.0057777928409</v>
      </c>
      <c r="H10">
        <v>1328.0957505082251</v>
      </c>
      <c r="I10">
        <v>348.52998663427275</v>
      </c>
      <c r="J10">
        <v>286.20751511687098</v>
      </c>
      <c r="K10">
        <v>8245.8742999999995</v>
      </c>
      <c r="L10">
        <v>3889.4577339752345</v>
      </c>
      <c r="M10">
        <v>1119.225291865961</v>
      </c>
      <c r="N10">
        <v>858.92115180530675</v>
      </c>
      <c r="O10">
        <v>3798.1046887902794</v>
      </c>
      <c r="P10">
        <v>2576.5581589655726</v>
      </c>
      <c r="Q10">
        <v>1645.992</v>
      </c>
      <c r="R10">
        <v>1489.338309644836</v>
      </c>
      <c r="S10">
        <v>1772.9911216079317</v>
      </c>
      <c r="T10">
        <v>1304.71</v>
      </c>
      <c r="U10">
        <v>467.8178243327884</v>
      </c>
      <c r="V10">
        <v>2405.0297575456775</v>
      </c>
      <c r="W10">
        <v>2658.090230180921</v>
      </c>
      <c r="X10">
        <v>4254.0600000000004</v>
      </c>
      <c r="Y10">
        <v>3181.2279134428918</v>
      </c>
      <c r="Z10">
        <v>756.06619999999998</v>
      </c>
      <c r="AA10">
        <v>2885.943129811973</v>
      </c>
      <c r="AB10">
        <v>122.4089568179262</v>
      </c>
      <c r="AC10">
        <v>951.16490164497907</v>
      </c>
      <c r="AD10">
        <v>1552.047</v>
      </c>
      <c r="AE10">
        <v>475.47921083877651</v>
      </c>
      <c r="AF10">
        <v>3494.3220843658823</v>
      </c>
      <c r="AG10">
        <v>1274.5930000000001</v>
      </c>
      <c r="AH10">
        <v>7292.3055568855616</v>
      </c>
      <c r="AI10">
        <v>4762.5986925329098</v>
      </c>
      <c r="AJ10">
        <v>440.59116965359379</v>
      </c>
      <c r="AK10">
        <v>5162.5028022437054</v>
      </c>
      <c r="AL10">
        <v>4303.9824835198106</v>
      </c>
      <c r="AM10">
        <v>2313.3244524562156</v>
      </c>
      <c r="AN10">
        <v>4753.5083186887068</v>
      </c>
      <c r="AO10">
        <v>348.86587738388471</v>
      </c>
      <c r="AP10">
        <v>1607.61230746709</v>
      </c>
      <c r="AQ10">
        <v>393.59846628172846</v>
      </c>
      <c r="AR10">
        <v>1541.058</v>
      </c>
      <c r="AS10">
        <v>11634.19751648019</v>
      </c>
      <c r="AT10">
        <v>1723.0889999999999</v>
      </c>
      <c r="AU10">
        <v>240.79356652069976</v>
      </c>
      <c r="AV10">
        <v>3461.7519872220164</v>
      </c>
      <c r="AW10">
        <v>4864.7785475437859</v>
      </c>
      <c r="AX10">
        <v>664.16857818282278</v>
      </c>
      <c r="AY10">
        <v>2797.9250379125087</v>
      </c>
      <c r="AZ10">
        <v>355.29222220715889</v>
      </c>
      <c r="BA10" s="72">
        <f t="shared" si="0"/>
        <v>138484.30525303032</v>
      </c>
      <c r="BB10" s="4">
        <f t="shared" si="1"/>
        <v>26345.859</v>
      </c>
      <c r="BC10" s="4">
        <f t="shared" si="2"/>
        <v>12132.769108623235</v>
      </c>
      <c r="BD10" s="4">
        <f t="shared" si="3"/>
        <v>10987.855890480001</v>
      </c>
      <c r="BE10" s="4">
        <f t="shared" si="4"/>
        <v>18103.688699999999</v>
      </c>
      <c r="BF10" s="4">
        <f t="shared" si="5"/>
        <v>18589.150687912068</v>
      </c>
      <c r="BG10" s="4">
        <f t="shared" si="6"/>
        <v>5594.4725876326975</v>
      </c>
      <c r="BH10" s="4">
        <f t="shared" si="7"/>
        <v>5519.1424597652958</v>
      </c>
      <c r="BI10" s="4">
        <f t="shared" si="8"/>
        <v>15540.135959940151</v>
      </c>
      <c r="BJ10" s="73">
        <f t="shared" si="9"/>
        <v>25671.230858676896</v>
      </c>
    </row>
    <row r="11" spans="1:62">
      <c r="A11" s="1">
        <v>2029</v>
      </c>
      <c r="B11">
        <v>1681.9791849145649</v>
      </c>
      <c r="C11">
        <v>443.8279182808684</v>
      </c>
      <c r="D11">
        <v>2727.8829999999998</v>
      </c>
      <c r="E11">
        <v>507.7629</v>
      </c>
      <c r="F11">
        <v>19244.222000000002</v>
      </c>
      <c r="G11">
        <v>2858.883217415751</v>
      </c>
      <c r="H11">
        <v>1529.5025121487522</v>
      </c>
      <c r="I11">
        <v>426.36416679272691</v>
      </c>
      <c r="J11">
        <v>483.49776971812736</v>
      </c>
      <c r="K11">
        <v>8276.1830000000009</v>
      </c>
      <c r="L11">
        <v>4578.5258150854352</v>
      </c>
      <c r="M11">
        <v>697.35008171913182</v>
      </c>
      <c r="N11">
        <v>1344.118142670271</v>
      </c>
      <c r="O11">
        <v>4232.0318256229093</v>
      </c>
      <c r="P11">
        <v>2593.7196944235811</v>
      </c>
      <c r="Q11">
        <v>1666.472</v>
      </c>
      <c r="R11">
        <v>1469.1950878807158</v>
      </c>
      <c r="S11">
        <v>1738.3919263133889</v>
      </c>
      <c r="T11">
        <v>1816.52</v>
      </c>
      <c r="U11">
        <v>511.95222185643746</v>
      </c>
      <c r="V11">
        <v>3006.0924590538875</v>
      </c>
      <c r="W11">
        <v>3090.0874133915217</v>
      </c>
      <c r="X11">
        <v>3158.7089999999998</v>
      </c>
      <c r="Y11">
        <v>2985.7085515446042</v>
      </c>
      <c r="Z11">
        <v>678.08550000000002</v>
      </c>
      <c r="AA11">
        <v>3089.0173923641773</v>
      </c>
      <c r="AB11">
        <v>188.22252348846678</v>
      </c>
      <c r="AC11">
        <v>925.44262674520326</v>
      </c>
      <c r="AD11">
        <v>1100.1990000000001</v>
      </c>
      <c r="AE11">
        <v>497.78186314210313</v>
      </c>
      <c r="AF11">
        <v>2841.9950615200623</v>
      </c>
      <c r="AG11">
        <v>1137.0999999999999</v>
      </c>
      <c r="AH11">
        <v>6200.8147748284619</v>
      </c>
      <c r="AI11">
        <v>3572.5929902195999</v>
      </c>
      <c r="AJ11">
        <v>452.70344531376213</v>
      </c>
      <c r="AK11">
        <v>3927.2396169188323</v>
      </c>
      <c r="AL11">
        <v>3368.1150671267924</v>
      </c>
      <c r="AM11">
        <v>2038.2951574404719</v>
      </c>
      <c r="AN11">
        <v>5184.1200539421579</v>
      </c>
      <c r="AO11">
        <v>408.53159840257592</v>
      </c>
      <c r="AP11">
        <v>2485.1430097804005</v>
      </c>
      <c r="AQ11">
        <v>389.18426777340022</v>
      </c>
      <c r="AR11">
        <v>1423.3330000000001</v>
      </c>
      <c r="AS11">
        <v>7725.2561328732072</v>
      </c>
      <c r="AT11">
        <v>2003.057</v>
      </c>
      <c r="AU11">
        <v>258.07520134859277</v>
      </c>
      <c r="AV11">
        <v>4353.7565169392919</v>
      </c>
      <c r="AW11">
        <v>4318.3668425595288</v>
      </c>
      <c r="AX11">
        <v>830.53566065529549</v>
      </c>
      <c r="AY11">
        <v>2032.8226650994259</v>
      </c>
      <c r="AZ11">
        <v>332.61078258424874</v>
      </c>
    </row>
  </sheetData>
  <sheetProtection algorithmName="SHA-512" hashValue="bx6hcpki/DKoxrsFZqpkIIMpEF8YQNljTQqRylY+W9VNq9YDyXHlg3DidRSuqGjiqcnkj0oyFifKMxbg+W7scg==" saltValue="Xr45LrieWh1JDH48frqEEA=="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0970F-C975-4E5E-89B0-89AA688523D3}">
  <sheetPr codeName="Sheet3">
    <tabColor theme="8" tint="0.59999389629810485"/>
  </sheetPr>
  <dimension ref="A1:N57"/>
  <sheetViews>
    <sheetView workbookViewId="0"/>
  </sheetViews>
  <sheetFormatPr defaultColWidth="8.85546875" defaultRowHeight="15"/>
  <cols>
    <col min="2" max="2" width="16.85546875" customWidth="1"/>
    <col min="3" max="3" width="12.140625" bestFit="1" customWidth="1"/>
    <col min="4" max="4" width="7.140625" customWidth="1"/>
    <col min="5" max="5" width="13.85546875" bestFit="1" customWidth="1"/>
    <col min="6" max="6" width="18.7109375" bestFit="1" customWidth="1"/>
    <col min="7" max="8" width="11.7109375" bestFit="1" customWidth="1"/>
  </cols>
  <sheetData>
    <row r="1" spans="1:14">
      <c r="A1" s="47" t="s">
        <v>0</v>
      </c>
      <c r="B1" s="46" t="str">
        <f>'State comparison'!B1</f>
        <v>AL</v>
      </c>
    </row>
    <row r="2" spans="1:14">
      <c r="A2" s="48" t="s">
        <v>3</v>
      </c>
      <c r="B2" s="37" t="str">
        <f>'State comparison'!B2</f>
        <v>East South Central</v>
      </c>
    </row>
    <row r="3" spans="1:14">
      <c r="A3" s="48" t="s">
        <v>31</v>
      </c>
      <c r="B3" s="37">
        <f>'State comparison'!B3</f>
        <v>0.5</v>
      </c>
    </row>
    <row r="4" spans="1:14" ht="15.75" thickBot="1">
      <c r="A4" s="49" t="s">
        <v>32</v>
      </c>
      <c r="B4" s="39">
        <f>'State comparison'!B4</f>
        <v>0.5</v>
      </c>
    </row>
    <row r="5" spans="1:14">
      <c r="A5" s="1"/>
    </row>
    <row r="6" spans="1:14" ht="28.5">
      <c r="B6" s="78" t="s">
        <v>33</v>
      </c>
      <c r="C6" s="78"/>
      <c r="D6" s="78"/>
      <c r="E6" s="78"/>
      <c r="F6" s="78"/>
      <c r="G6" s="78"/>
      <c r="H6" s="78"/>
      <c r="I6" s="78"/>
      <c r="J6" s="78"/>
      <c r="K6" s="78"/>
      <c r="L6" s="78"/>
      <c r="M6" s="78"/>
      <c r="N6" s="78"/>
    </row>
    <row r="7" spans="1:14">
      <c r="B7" s="1" t="s">
        <v>34</v>
      </c>
    </row>
    <row r="8" spans="1:14">
      <c r="C8" s="1" t="s">
        <v>35</v>
      </c>
      <c r="D8" s="1" t="s">
        <v>36</v>
      </c>
      <c r="E8" s="1" t="s">
        <v>37</v>
      </c>
      <c r="F8" s="1" t="s">
        <v>38</v>
      </c>
      <c r="G8" s="1" t="s">
        <v>39</v>
      </c>
      <c r="H8" s="1" t="s">
        <v>40</v>
      </c>
    </row>
    <row r="9" spans="1:14">
      <c r="B9">
        <v>2020</v>
      </c>
      <c r="C9" s="72">
        <f>HLOOKUP($B$1, White!$B$1:$AZ$10,2)*$B$4+HLOOKUP($B$1, 'Non-His White'!$B$1:$AZ$11, 2,)*'Racial Data Drilldown Dashboard'!$B$3</f>
        <v>27083.692049493155</v>
      </c>
      <c r="D9" s="72">
        <f>HLOOKUP($B$1, Black!$B$1:$AZ$10,2)*$B$4+HLOOKUP($B$1, 'Non-His Black'!$B$1:$AZ$11, 2,)*'Racial Data Drilldown Dashboard'!$B$3</f>
        <v>11599.842517075631</v>
      </c>
      <c r="E9" s="72">
        <f>HLOOKUP($B$1, LatinX!$B$1:$AZ$10,2)*$B$4+HLOOKUP($B$1, 'Hispanic (LatinX)'!$B$1:$AZ$11, 2,)*'Racial Data Drilldown Dashboard'!$B$3</f>
        <v>2733.5953322369419</v>
      </c>
      <c r="F9" s="72">
        <f>HLOOKUP($B$1, 'Asian-Pacific Islander'!$B$1:$AZ$10,2)*$B$4+HLOOKUP($B$1,'Asian - Pacific Islander'!$B$1:$AZ$11, 2,)*'Racial Data Drilldown Dashboard'!$B$3</f>
        <v>748.03143072589455</v>
      </c>
      <c r="G9" s="72">
        <f>HLOOKUP($B$1,'Other W'!$B$1:$AZ$10,2)*$B$4+HLOOKUP($B$1, 'Other G'!$B$1:$AZ$11, 2,)*'Racial Data Drilldown Dashboard'!$B$3</f>
        <v>1001.0362494043825</v>
      </c>
      <c r="H9" s="72">
        <f>SUM(C9:G9)</f>
        <v>43166.197578936</v>
      </c>
    </row>
    <row r="10" spans="1:14">
      <c r="B10">
        <v>2021</v>
      </c>
      <c r="C10" s="72">
        <f>HLOOKUP($B$1, White!$B$1:$AZ$10,3)*$B$4+HLOOKUP($B$1, 'Non-His White'!$B$1:$AZ$11, 3,)*'Racial Data Drilldown Dashboard'!$B$3</f>
        <v>24879.60787726866</v>
      </c>
      <c r="D10" s="72">
        <f>HLOOKUP($B$1, Black!$B$1:$AZ$10,3)*$B$4+HLOOKUP($B$1, 'Non-His Black'!$B$1:$AZ$11, 3,)*'Racial Data Drilldown Dashboard'!$B$3</f>
        <v>11982.350785122462</v>
      </c>
      <c r="E10" s="72">
        <f>HLOOKUP($B$1, LatinX!$B$1:$AZ$10,3)*$B$4+HLOOKUP($B$1, 'Hispanic (LatinX)'!$B$1:$AZ$11, 3,)*'Racial Data Drilldown Dashboard'!$B$3</f>
        <v>3141.9453593792678</v>
      </c>
      <c r="F10" s="72">
        <f>HLOOKUP($B$1, 'Asian-Pacific Islander'!$B$1:$AZ$10,3)*$B$4+HLOOKUP($B$1,'Asian - Pacific Islander'!$B$1:$AZ$11, 3,)*'Racial Data Drilldown Dashboard'!$B$3</f>
        <v>597.7339533912259</v>
      </c>
      <c r="G10" s="72">
        <f>HLOOKUP($B$1,'Other W'!$B$1:$AZ$10,3)*$B$4+HLOOKUP($B$1, 'Other G'!$B$1:$AZ$11, 3,)*'Racial Data Drilldown Dashboard'!$B$3</f>
        <v>972.3139958947919</v>
      </c>
      <c r="H10" s="72">
        <f t="shared" ref="H10:H17" si="0">SUM(C10:G10)</f>
        <v>41573.951971056405</v>
      </c>
    </row>
    <row r="11" spans="1:14">
      <c r="B11">
        <v>2022</v>
      </c>
      <c r="C11" s="72">
        <f>HLOOKUP($B$1, White!$B$1:$AZ$10,4)*$B$4+HLOOKUP($B$1, 'Non-His White'!$B$1:$AZ$11, 4,)*'Racial Data Drilldown Dashboard'!$B$3</f>
        <v>25961.932913138487</v>
      </c>
      <c r="D11" s="72">
        <f>HLOOKUP($B$1, Black!$B$1:$AZ$10,4)*$B$4+HLOOKUP($B$1, 'Non-His Black'!$B$1:$AZ$11, 4,)*'Racial Data Drilldown Dashboard'!$B$3</f>
        <v>10844.079446367872</v>
      </c>
      <c r="E11" s="72">
        <f>HLOOKUP($B$1, LatinX!$B$1:$AZ$10,4)*$B$4+HLOOKUP($B$1, 'Hispanic (LatinX)'!$B$1:$AZ$11, 4,)*'Racial Data Drilldown Dashboard'!$B$3</f>
        <v>3022.988678548666</v>
      </c>
      <c r="F11" s="72">
        <f>HLOOKUP($B$1, 'Asian-Pacific Islander'!$B$1:$AZ$10,4)*$B$4+HLOOKUP($B$1,'Asian - Pacific Islander'!$B$1:$AZ$11, 4,)*'Racial Data Drilldown Dashboard'!$B$3</f>
        <v>863.60384672410396</v>
      </c>
      <c r="G11" s="72">
        <f>HLOOKUP($B$1,'Other W'!$B$1:$AZ$10,4)*$B$4+HLOOKUP($B$1, 'Other G'!$B$1:$AZ$11, 4,)*'Racial Data Drilldown Dashboard'!$B$3</f>
        <v>1065.7942582635285</v>
      </c>
      <c r="H11" s="72">
        <f t="shared" si="0"/>
        <v>41758.399143042661</v>
      </c>
    </row>
    <row r="12" spans="1:14">
      <c r="B12">
        <v>2023</v>
      </c>
      <c r="C12" s="72">
        <f>HLOOKUP($B$1, White!$B$1:$AZ$10,5)*$B$4+HLOOKUP($B$1, 'Non-His White'!$B$1:$AZ$11, 5,)*'Racial Data Drilldown Dashboard'!$B$3</f>
        <v>25343.041632522989</v>
      </c>
      <c r="D12" s="72">
        <f>HLOOKUP($B$1, Black!$B$1:$AZ$10,5)*$B$4+HLOOKUP($B$1, 'Non-His Black'!$B$1:$AZ$11, 5,)*'Racial Data Drilldown Dashboard'!$B$3</f>
        <v>11592.774698496161</v>
      </c>
      <c r="E12" s="72">
        <f>HLOOKUP($B$1, LatinX!$B$1:$AZ$10,5)*$B$4+HLOOKUP($B$1, 'Hispanic (LatinX)'!$B$1:$AZ$11, 5,)*'Racial Data Drilldown Dashboard'!$B$3</f>
        <v>2671.0603278741387</v>
      </c>
      <c r="F12" s="72">
        <f>HLOOKUP($B$1, 'Asian-Pacific Islander'!$B$1:$AZ$10,5)*$B$4+HLOOKUP($B$1,'Asian - Pacific Islander'!$B$1:$AZ$11, 5,)*'Racial Data Drilldown Dashboard'!$B$3</f>
        <v>615.06914954816534</v>
      </c>
      <c r="G12" s="72">
        <f>HLOOKUP($B$1,'Other W'!$B$1:$AZ$10,5)*$B$4+HLOOKUP($B$1, 'Other G'!$B$1:$AZ$11, 5,)*'Racial Data Drilldown Dashboard'!$B$3</f>
        <v>1238.1256961326594</v>
      </c>
      <c r="H12" s="72">
        <f t="shared" si="0"/>
        <v>41460.071504574116</v>
      </c>
    </row>
    <row r="13" spans="1:14">
      <c r="B13">
        <v>2024</v>
      </c>
      <c r="C13" s="72">
        <f>HLOOKUP($B$1, White!$B$1:$AZ$10,6)*$B$4+HLOOKUP($B$1, 'Non-His White'!$B$1:$AZ$11, 6,)*'Racial Data Drilldown Dashboard'!$B$3</f>
        <v>24689.228705651156</v>
      </c>
      <c r="D13" s="72">
        <f>HLOOKUP($B$1, Black!$B$1:$AZ$10,6)*$B$4+HLOOKUP($B$1, 'Non-His Black'!$B$1:$AZ$11, 6,)*'Racial Data Drilldown Dashboard'!$B$3</f>
        <v>11773.157040319889</v>
      </c>
      <c r="E13" s="72">
        <f>HLOOKUP($B$1, LatinX!$B$1:$AZ$10,6)*$B$4+HLOOKUP($B$1, 'Hispanic (LatinX)'!$B$1:$AZ$11, 6,)*'Racial Data Drilldown Dashboard'!$B$3</f>
        <v>3098.1431733948675</v>
      </c>
      <c r="F13" s="72">
        <f>HLOOKUP($B$1, 'Asian-Pacific Islander'!$B$1:$AZ$10,6)*$B$4+HLOOKUP($B$1,'Asian - Pacific Islander'!$B$1:$AZ$11, 6,)*'Racial Data Drilldown Dashboard'!$B$3</f>
        <v>587.12253720295007</v>
      </c>
      <c r="G13" s="72">
        <f>HLOOKUP($B$1,'Other W'!$B$1:$AZ$10,6)*$B$4+HLOOKUP($B$1, 'Other G'!$B$1:$AZ$11, 6,)*'Racial Data Drilldown Dashboard'!$B$3</f>
        <v>1266.6458117090049</v>
      </c>
      <c r="H13" s="72">
        <f t="shared" si="0"/>
        <v>41414.297268277871</v>
      </c>
    </row>
    <row r="14" spans="1:14">
      <c r="B14">
        <v>2025</v>
      </c>
      <c r="C14" s="72">
        <f>HLOOKUP($B$1, White!$B$1:$AZ$10,7)*$B$4+HLOOKUP($B$1, 'Non-His White'!$B$1:$AZ$11, 7,)*'Racial Data Drilldown Dashboard'!$B$3</f>
        <v>25570.139191155271</v>
      </c>
      <c r="D14" s="72">
        <f>HLOOKUP($B$1, Black!$B$1:$AZ$10,7)*$B$4+HLOOKUP($B$1, 'Non-His Black'!$B$1:$AZ$11, 7,)*'Racial Data Drilldown Dashboard'!$B$3</f>
        <v>12589.105804557801</v>
      </c>
      <c r="E14" s="72">
        <f>HLOOKUP($B$1, LatinX!$B$1:$AZ$10,7)*$B$4+HLOOKUP($B$1, 'Hispanic (LatinX)'!$B$1:$AZ$11, 7,)*'Racial Data Drilldown Dashboard'!$B$3</f>
        <v>3803.4735875121401</v>
      </c>
      <c r="F14" s="72">
        <f>HLOOKUP($B$1, 'Asian-Pacific Islander'!$B$1:$AZ$10,7)*$B$4+HLOOKUP($B$1,'Asian - Pacific Islander'!$B$1:$AZ$11, 7,)*'Racial Data Drilldown Dashboard'!$B$3</f>
        <v>922.99188664033818</v>
      </c>
      <c r="G14" s="72">
        <f>HLOOKUP($B$1,'Other W'!$B$1:$AZ$10,7)*$B$4+HLOOKUP($B$1, 'Other G'!$B$1:$AZ$11, 7,)*'Racial Data Drilldown Dashboard'!$B$3</f>
        <v>1670.0706598208594</v>
      </c>
      <c r="H14" s="72">
        <f t="shared" si="0"/>
        <v>44555.781129686409</v>
      </c>
    </row>
    <row r="15" spans="1:14">
      <c r="B15">
        <v>2026</v>
      </c>
      <c r="C15" s="72">
        <f>HLOOKUP($B$1, White!$B$1:$AZ$10,8)*$B$4+HLOOKUP($B$1, 'Non-His White'!$B$1:$AZ$11, 8,)*'Racial Data Drilldown Dashboard'!$B$3</f>
        <v>24459.551193036965</v>
      </c>
      <c r="D15" s="72">
        <f>HLOOKUP($B$1, Black!$B$1:$AZ$10,8)*$B$4+HLOOKUP($B$1, 'Non-His Black'!$B$1:$AZ$11, 8,)*'Racial Data Drilldown Dashboard'!$B$3</f>
        <v>12032.937741092293</v>
      </c>
      <c r="E15" s="72">
        <f>HLOOKUP($B$1, LatinX!$B$1:$AZ$10,8)*$B$4+HLOOKUP($B$1, 'Hispanic (LatinX)'!$B$1:$AZ$11, 8,)*'Racial Data Drilldown Dashboard'!$B$3</f>
        <v>3731.6107120094694</v>
      </c>
      <c r="F15" s="72">
        <f>HLOOKUP($B$1, 'Asian-Pacific Islander'!$B$1:$AZ$10,8)*$B$4+HLOOKUP($B$1,'Asian - Pacific Islander'!$B$1:$AZ$11, 8,)*'Racial Data Drilldown Dashboard'!$B$3</f>
        <v>600.37976913108139</v>
      </c>
      <c r="G15" s="72">
        <f>HLOOKUP($B$1,'Other W'!$B$1:$AZ$10,8)*$B$4+HLOOKUP($B$1, 'Other G'!$B$1:$AZ$11, 8,)*'Racial Data Drilldown Dashboard'!$B$3</f>
        <v>1549.5948255846156</v>
      </c>
      <c r="H15" s="72">
        <f t="shared" si="0"/>
        <v>42374.074240854425</v>
      </c>
    </row>
    <row r="16" spans="1:14">
      <c r="B16">
        <v>2027</v>
      </c>
      <c r="C16" s="72">
        <f>HLOOKUP($B$1, White!$B$1:$AZ$10,9)*$B$4+HLOOKUP($B$1, 'Non-His White'!$B$1:$AZ$11, 9,)*'Racial Data Drilldown Dashboard'!$B$3</f>
        <v>23896.909105758143</v>
      </c>
      <c r="D16" s="72">
        <f>HLOOKUP($B$1, Black!$B$1:$AZ$10,9)*$B$4+HLOOKUP($B$1, 'Non-His Black'!$B$1:$AZ$11, 9,)*'Racial Data Drilldown Dashboard'!$B$3</f>
        <v>12167.132955104858</v>
      </c>
      <c r="E16" s="72">
        <f>HLOOKUP($B$1, LatinX!$B$1:$AZ$10,9)*$B$4+HLOOKUP($B$1, 'Hispanic (LatinX)'!$B$1:$AZ$11, 9,)*'Racial Data Drilldown Dashboard'!$B$3</f>
        <v>3860.5653637079272</v>
      </c>
      <c r="F16" s="72">
        <f>HLOOKUP($B$1, 'Asian-Pacific Islander'!$B$1:$AZ$10,9)*$B$4+HLOOKUP($B$1,'Asian - Pacific Islander'!$B$1:$AZ$11, 9,)*'Racial Data Drilldown Dashboard'!$B$3</f>
        <v>627.76426199694981</v>
      </c>
      <c r="G16" s="72">
        <f>HLOOKUP($B$1,'Other W'!$B$1:$AZ$10,9)*$B$4+HLOOKUP($B$1, 'Other G'!$B$1:$AZ$11, 9,)*'Racial Data Drilldown Dashboard'!$B$3</f>
        <v>1672.2254074668426</v>
      </c>
      <c r="H16" s="72">
        <f t="shared" si="0"/>
        <v>42224.597094034725</v>
      </c>
    </row>
    <row r="17" spans="2:8">
      <c r="B17">
        <v>2028</v>
      </c>
      <c r="C17" s="72">
        <f>HLOOKUP($B$1, White!$B$1:$AZ$10,10)*$B$4+HLOOKUP($B$1, 'Non-His White'!$B$1:$AZ$11, 10,)*'Racial Data Drilldown Dashboard'!$B$3</f>
        <v>22690.098131733892</v>
      </c>
      <c r="D17" s="72">
        <f>HLOOKUP($B$1, Black!$B$1:$AZ$10,10)*$B$4+HLOOKUP($B$1, 'Non-His Black'!$B$1:$AZ$11, 10,)*'Racial Data Drilldown Dashboard'!$B$3</f>
        <v>11259.40882627318</v>
      </c>
      <c r="E17" s="72">
        <f>HLOOKUP($B$1, LatinX!$B$1:$AZ$10,10)*$B$4+HLOOKUP($B$1, 'Hispanic (LatinX)'!$B$1:$AZ$11, 10,)*'Racial Data Drilldown Dashboard'!$B$3</f>
        <v>4951.8916725488634</v>
      </c>
      <c r="F17" s="72">
        <f>HLOOKUP($B$1, 'Asian-Pacific Islander'!$B$1:$AZ$10,10)*$B$4+HLOOKUP($B$1,'Asian - Pacific Islander'!$B$1:$AZ$11, 10,)*'Racial Data Drilldown Dashboard'!$B$3</f>
        <v>649.85582164253844</v>
      </c>
      <c r="G17" s="72">
        <f>HLOOKUP($B$1,'Other W'!$B$1:$AZ$10,10)*$B$4+HLOOKUP($B$1, 'Other G'!$B$1:$AZ$11, 10,)*'Racial Data Drilldown Dashboard'!$B$3</f>
        <v>1667.1786330123828</v>
      </c>
      <c r="H17" s="72">
        <f t="shared" si="0"/>
        <v>41218.433085210854</v>
      </c>
    </row>
    <row r="18" spans="2:8">
      <c r="B18" t="s">
        <v>41</v>
      </c>
      <c r="C18" s="72">
        <f>C17-C9</f>
        <v>-4393.5939177592627</v>
      </c>
      <c r="D18" s="72">
        <f t="shared" ref="D18:H18" si="1">D17-D9</f>
        <v>-340.43369080245066</v>
      </c>
      <c r="E18" s="72">
        <f t="shared" si="1"/>
        <v>2218.2963403119215</v>
      </c>
      <c r="F18" s="72">
        <f t="shared" si="1"/>
        <v>-98.175609083356107</v>
      </c>
      <c r="G18" s="72">
        <f t="shared" si="1"/>
        <v>666.14238360800027</v>
      </c>
      <c r="H18" s="72">
        <f t="shared" si="1"/>
        <v>-1947.7644937251462</v>
      </c>
    </row>
    <row r="19" spans="2:8">
      <c r="C19" s="72"/>
      <c r="D19" s="72"/>
      <c r="E19" s="72"/>
      <c r="F19" s="72"/>
      <c r="G19" s="72"/>
      <c r="H19" s="72"/>
    </row>
    <row r="20" spans="2:8">
      <c r="B20" s="1" t="s">
        <v>42</v>
      </c>
    </row>
    <row r="21" spans="2:8">
      <c r="C21" s="1" t="s">
        <v>35</v>
      </c>
      <c r="D21" s="1" t="s">
        <v>36</v>
      </c>
      <c r="E21" s="1" t="s">
        <v>37</v>
      </c>
      <c r="F21" s="1" t="s">
        <v>38</v>
      </c>
      <c r="G21" s="1" t="s">
        <v>39</v>
      </c>
      <c r="H21" s="1" t="s">
        <v>40</v>
      </c>
    </row>
    <row r="22" spans="2:8">
      <c r="B22">
        <v>2020</v>
      </c>
      <c r="C22" s="52">
        <f t="shared" ref="C22:G30" si="2">C9/$H9</f>
        <v>0.62742825563837257</v>
      </c>
      <c r="D22" s="52">
        <f t="shared" si="2"/>
        <v>0.26872514068128295</v>
      </c>
      <c r="E22" s="52">
        <f t="shared" si="2"/>
        <v>6.3327220963536213E-2</v>
      </c>
      <c r="F22" s="52">
        <f t="shared" si="2"/>
        <v>1.732910176667761E-2</v>
      </c>
      <c r="G22" s="52">
        <f t="shared" si="2"/>
        <v>2.3190280950130815E-2</v>
      </c>
      <c r="H22" s="52">
        <f>SUM(C22:G22)</f>
        <v>1.0000000000000002</v>
      </c>
    </row>
    <row r="23" spans="2:8">
      <c r="B23">
        <v>2021</v>
      </c>
      <c r="C23" s="52">
        <f t="shared" si="2"/>
        <v>0.59844221436032174</v>
      </c>
      <c r="D23" s="52">
        <f t="shared" si="2"/>
        <v>0.28821774734007777</v>
      </c>
      <c r="E23" s="52">
        <f t="shared" si="2"/>
        <v>7.5574854215607778E-2</v>
      </c>
      <c r="F23" s="52">
        <f t="shared" si="2"/>
        <v>1.4377607252910802E-2</v>
      </c>
      <c r="G23" s="52">
        <f t="shared" si="2"/>
        <v>2.3387576831081933E-2</v>
      </c>
      <c r="H23" s="52">
        <f t="shared" ref="H23:H30" si="3">SUM(C23:G23)</f>
        <v>1</v>
      </c>
    </row>
    <row r="24" spans="2:8">
      <c r="B24">
        <v>2022</v>
      </c>
      <c r="C24" s="52">
        <f t="shared" si="2"/>
        <v>0.62171762916979512</v>
      </c>
      <c r="D24" s="52">
        <f t="shared" si="2"/>
        <v>0.25968618694461126</v>
      </c>
      <c r="E24" s="52">
        <f t="shared" si="2"/>
        <v>7.2392350774594383E-2</v>
      </c>
      <c r="F24" s="52">
        <f t="shared" si="2"/>
        <v>2.0680961541792928E-2</v>
      </c>
      <c r="G24" s="52">
        <f t="shared" si="2"/>
        <v>2.5522871569206209E-2</v>
      </c>
      <c r="H24" s="52">
        <f t="shared" si="3"/>
        <v>0.99999999999999989</v>
      </c>
    </row>
    <row r="25" spans="2:8">
      <c r="B25">
        <v>2023</v>
      </c>
      <c r="C25" s="52">
        <f t="shared" si="2"/>
        <v>0.61126381872561408</v>
      </c>
      <c r="D25" s="52">
        <f t="shared" si="2"/>
        <v>0.2796129933644031</v>
      </c>
      <c r="E25" s="52">
        <f t="shared" si="2"/>
        <v>6.442488473710066E-2</v>
      </c>
      <c r="F25" s="52">
        <f t="shared" si="2"/>
        <v>1.4835216805651369E-2</v>
      </c>
      <c r="G25" s="52">
        <f t="shared" si="2"/>
        <v>2.986308636723075E-2</v>
      </c>
      <c r="H25" s="52">
        <f t="shared" si="3"/>
        <v>1</v>
      </c>
    </row>
    <row r="26" spans="2:8">
      <c r="B26">
        <v>2024</v>
      </c>
      <c r="C26" s="52">
        <f t="shared" si="2"/>
        <v>0.59615230329073765</v>
      </c>
      <c r="D26" s="52">
        <f t="shared" si="2"/>
        <v>0.28427760017402925</v>
      </c>
      <c r="E26" s="52">
        <f t="shared" si="2"/>
        <v>7.4808541439817064E-2</v>
      </c>
      <c r="F26" s="52">
        <f t="shared" si="2"/>
        <v>1.4176807912485542E-2</v>
      </c>
      <c r="G26" s="52">
        <f t="shared" si="2"/>
        <v>3.0584747182930427E-2</v>
      </c>
      <c r="H26" s="52">
        <f t="shared" si="3"/>
        <v>1</v>
      </c>
    </row>
    <row r="27" spans="2:8">
      <c r="B27">
        <v>2025</v>
      </c>
      <c r="C27" s="52">
        <f t="shared" si="2"/>
        <v>0.5738904928348012</v>
      </c>
      <c r="D27" s="52">
        <f t="shared" si="2"/>
        <v>0.2825470788608842</v>
      </c>
      <c r="E27" s="52">
        <f t="shared" si="2"/>
        <v>8.5364311680263191E-2</v>
      </c>
      <c r="F27" s="52">
        <f t="shared" si="2"/>
        <v>2.0715423750597688E-2</v>
      </c>
      <c r="G27" s="52">
        <f t="shared" si="2"/>
        <v>3.7482692873453696E-2</v>
      </c>
      <c r="H27" s="52">
        <f t="shared" si="3"/>
        <v>0.99999999999999989</v>
      </c>
    </row>
    <row r="28" spans="2:8">
      <c r="B28">
        <v>2026</v>
      </c>
      <c r="C28" s="52">
        <f t="shared" si="2"/>
        <v>0.5772291579518356</v>
      </c>
      <c r="D28" s="52">
        <f t="shared" si="2"/>
        <v>0.28396933636112076</v>
      </c>
      <c r="E28" s="52">
        <f t="shared" si="2"/>
        <v>8.8063533631412866E-2</v>
      </c>
      <c r="F28" s="52">
        <f t="shared" si="2"/>
        <v>1.41685636768964E-2</v>
      </c>
      <c r="G28" s="52">
        <f t="shared" si="2"/>
        <v>3.656940837873441E-2</v>
      </c>
      <c r="H28" s="52">
        <f t="shared" si="3"/>
        <v>1</v>
      </c>
    </row>
    <row r="29" spans="2:8">
      <c r="B29">
        <v>2027</v>
      </c>
      <c r="C29" s="52">
        <f t="shared" si="2"/>
        <v>0.56594759335511047</v>
      </c>
      <c r="D29" s="52">
        <f t="shared" si="2"/>
        <v>0.28815273069411401</v>
      </c>
      <c r="E29" s="52">
        <f t="shared" si="2"/>
        <v>9.1429300204106112E-2</v>
      </c>
      <c r="F29" s="52">
        <f t="shared" si="2"/>
        <v>1.4867264703530756E-2</v>
      </c>
      <c r="G29" s="52">
        <f t="shared" si="2"/>
        <v>3.9603111043138552E-2</v>
      </c>
      <c r="H29" s="52">
        <f t="shared" si="3"/>
        <v>0.99999999999999978</v>
      </c>
    </row>
    <row r="30" spans="2:8">
      <c r="B30">
        <v>2028</v>
      </c>
      <c r="C30" s="52">
        <f t="shared" si="2"/>
        <v>0.55048424778367144</v>
      </c>
      <c r="D30" s="52">
        <f t="shared" si="2"/>
        <v>0.2731644068806936</v>
      </c>
      <c r="E30" s="52">
        <f t="shared" si="2"/>
        <v>0.12013779520225379</v>
      </c>
      <c r="F30" s="52">
        <f t="shared" si="2"/>
        <v>1.5766145702314587E-2</v>
      </c>
      <c r="G30" s="52">
        <f t="shared" si="2"/>
        <v>4.0447404431066675E-2</v>
      </c>
      <c r="H30" s="52">
        <f t="shared" si="3"/>
        <v>1.0000000000000002</v>
      </c>
    </row>
    <row r="31" spans="2:8">
      <c r="C31" s="52"/>
      <c r="D31" s="52"/>
      <c r="E31" s="52"/>
      <c r="F31" s="52"/>
      <c r="G31" s="52"/>
      <c r="H31" s="52"/>
    </row>
    <row r="33" spans="2:14" ht="28.5">
      <c r="B33" s="78" t="s">
        <v>43</v>
      </c>
      <c r="C33" s="78"/>
      <c r="D33" s="78"/>
      <c r="E33" s="78"/>
      <c r="F33" s="78"/>
      <c r="G33" s="78"/>
      <c r="H33" s="78"/>
      <c r="I33" s="78"/>
      <c r="J33" s="78"/>
      <c r="K33" s="78"/>
      <c r="L33" s="78"/>
      <c r="M33" s="78"/>
      <c r="N33" s="78"/>
    </row>
    <row r="34" spans="2:14">
      <c r="B34" s="1" t="s">
        <v>34</v>
      </c>
    </row>
    <row r="35" spans="2:14">
      <c r="C35" s="1" t="s">
        <v>35</v>
      </c>
      <c r="D35" s="1" t="s">
        <v>36</v>
      </c>
      <c r="E35" s="1" t="s">
        <v>37</v>
      </c>
      <c r="F35" s="1" t="s">
        <v>38</v>
      </c>
      <c r="G35" s="1" t="s">
        <v>39</v>
      </c>
      <c r="H35" s="1" t="s">
        <v>40</v>
      </c>
    </row>
    <row r="36" spans="2:14">
      <c r="B36">
        <v>2020</v>
      </c>
      <c r="C36" s="72">
        <f>HLOOKUP($B$2, White!$B$1:$BJ$10,2)*$B$4+HLOOKUP($B$2, 'Non-His White'!$B$1:$BJ$11, 2,)*$B$3</f>
        <v>51564.55889550451</v>
      </c>
      <c r="D36" s="72">
        <f>HLOOKUP($B$2, Black!$B$1:$BJ$10,2)*$B$4+HLOOKUP($B$2,'Non-His Black'!$B$1:$BJ$11, 2,)*'Racial Data Drilldown Dashboard'!$B$3</f>
        <v>15167.635494674978</v>
      </c>
      <c r="E36" s="72">
        <f>HLOOKUP($B$2, LatinX!$B$1:$BJ$10,2)*$B$4+HLOOKUP($B$2,'Hispanic (LatinX)'!$B$1:$BJ$11, 2,)*'Racial Data Drilldown Dashboard'!$B$3</f>
        <v>4572.2819390627847</v>
      </c>
      <c r="F36" s="72">
        <f>HLOOKUP($B$2, 'Asian-Pacific Islander'!$B$1:$BJ$10,2)*$B$4+HLOOKUP($B$2,'Asian - Pacific Islander'!$B$1:$BJ$11, 2,)*'Racial Data Drilldown Dashboard'!$B$3</f>
        <v>1492.1422251064571</v>
      </c>
      <c r="G36" s="72">
        <f>HLOOKUP($B$2,'Other W'!$B$1:$BJ$10,2)*$B$4+HLOOKUP($B$2,'Other G'!$B$1:$BJ$11, 2,)*'Racial Data Drilldown Dashboard'!$B$3</f>
        <v>1963.2578588340666</v>
      </c>
      <c r="H36" s="72">
        <f>SUM(C36:G36)</f>
        <v>74759.876413182792</v>
      </c>
    </row>
    <row r="37" spans="2:14">
      <c r="B37">
        <v>2021</v>
      </c>
      <c r="C37" s="72">
        <f>HLOOKUP($B$2, White!$B$1:$BJ$10,3)*$B$4+HLOOKUP($B$2, 'Non-His White'!$B$1:$BJ$11, 3,)*'Racial Data Drilldown Dashboard'!$B$3</f>
        <v>46026.613227244059</v>
      </c>
      <c r="D37" s="72">
        <f>HLOOKUP($B$2, Black!$B$1:$BJ$10,3)*$B$4+HLOOKUP($B$2,'Non-His Black'!$B$1:$BJ$11, 3,)*'Racial Data Drilldown Dashboard'!$B$3</f>
        <v>14964.196559037206</v>
      </c>
      <c r="E37" s="72">
        <f>HLOOKUP($B$2, LatinX!$B$1:$BJ$10,3)*$B$4+HLOOKUP($B$2,'Hispanic (LatinX)'!$B$1:$BJ$11, 3,)*'Racial Data Drilldown Dashboard'!$B$3</f>
        <v>5794.432108670002</v>
      </c>
      <c r="F37" s="72">
        <f>HLOOKUP($B$2, 'Asian-Pacific Islander'!$B$1:$BJ$10,3)*$B$4+HLOOKUP($B$2,'Asian - Pacific Islander'!$B$1:$BJ$11, 3,)*'Racial Data Drilldown Dashboard'!$B$3</f>
        <v>1226.3413860097239</v>
      </c>
      <c r="G37" s="72">
        <f>HLOOKUP($B$2,'Other W'!$B$1:$BJ$10,3)*$B$4+HLOOKUP($B$2,'Other G'!$B$1:$BJ$11, 3,)*'Racial Data Drilldown Dashboard'!$B$3</f>
        <v>1963.5546126685522</v>
      </c>
      <c r="H37" s="72">
        <f t="shared" ref="H37:H44" si="4">SUM(C37:G37)</f>
        <v>69975.137893629537</v>
      </c>
    </row>
    <row r="38" spans="2:14">
      <c r="B38">
        <v>2022</v>
      </c>
      <c r="C38" s="72">
        <f>HLOOKUP($B$2, White!$B$1:$BJ$10,4)*$B$4+HLOOKUP($B$2, 'Non-His White'!$B$1:$BJ$11, 4,)*'Racial Data Drilldown Dashboard'!$B$3</f>
        <v>49186.723291610811</v>
      </c>
      <c r="D38" s="72">
        <f>HLOOKUP($B$2, Black!$B$1:$BJ$10,4)*$B$4+HLOOKUP($B$2,'Non-His Black'!$B$1:$BJ$11, 4,)*'Racial Data Drilldown Dashboard'!$B$3</f>
        <v>12845.253150484006</v>
      </c>
      <c r="E38" s="72">
        <f>HLOOKUP($B$2, LatinX!$B$1:$BJ$10,4)*$B$4+HLOOKUP($B$2,'Hispanic (LatinX)'!$B$1:$BJ$11, 4,)*'Racial Data Drilldown Dashboard'!$B$3</f>
        <v>6151.4367294427357</v>
      </c>
      <c r="F38" s="72">
        <f>HLOOKUP($B$2, 'Asian-Pacific Islander'!$B$1:$BJ$10,4)*$B$4+HLOOKUP($B$2,'Asian - Pacific Islander'!$B$1:$BJ$11, 4,)*'Racial Data Drilldown Dashboard'!$B$3</f>
        <v>1887.4263190552469</v>
      </c>
      <c r="G38" s="72">
        <f>HLOOKUP($B$2,'Other W'!$B$1:$BJ$10,4)*$B$4+HLOOKUP($B$2,'Other G'!$B$1:$BJ$11, 4,)*'Racial Data Drilldown Dashboard'!$B$3</f>
        <v>2193.4198811225097</v>
      </c>
      <c r="H38" s="72">
        <f t="shared" si="4"/>
        <v>72264.259371715307</v>
      </c>
    </row>
    <row r="39" spans="2:14">
      <c r="B39">
        <v>2023</v>
      </c>
      <c r="C39" s="72">
        <f>HLOOKUP($B$2, White!$B$1:$BJ$10,5)*$B$4+HLOOKUP($B$2, 'Non-His White'!$B$1:$BJ$11, 5,)*'Racial Data Drilldown Dashboard'!$B$3</f>
        <v>51105.650703294297</v>
      </c>
      <c r="D39" s="72">
        <f>HLOOKUP($B$2, Black!$B$1:$BJ$10,5)*$B$4+HLOOKUP($B$2,'Non-His Black'!$B$1:$BJ$11, 5,)*'Racial Data Drilldown Dashboard'!$B$3</f>
        <v>13580.343755981627</v>
      </c>
      <c r="E39" s="72">
        <f>HLOOKUP($B$2, LatinX!$B$1:$BJ$10,5)*$B$4+HLOOKUP($B$2,'Hispanic (LatinX)'!$B$1:$BJ$11, 5,)*'Racial Data Drilldown Dashboard'!$B$3</f>
        <v>5220.1632985000269</v>
      </c>
      <c r="F39" s="72">
        <f>HLOOKUP($B$2, 'Asian-Pacific Islander'!$B$1:$BJ$10,5)*$B$4+HLOOKUP($B$2,'Asian - Pacific Islander'!$B$1:$BJ$11, 5,)*'Racial Data Drilldown Dashboard'!$B$3</f>
        <v>2285.132440804372</v>
      </c>
      <c r="G39" s="72">
        <f>HLOOKUP($B$2,'Other W'!$B$1:$BJ$10,5)*$B$4+HLOOKUP($B$2,'Other G'!$B$1:$BJ$11, 5,)*'Racial Data Drilldown Dashboard'!$B$3</f>
        <v>2295.4131487058908</v>
      </c>
      <c r="H39" s="72">
        <f t="shared" si="4"/>
        <v>74486.703347286224</v>
      </c>
    </row>
    <row r="40" spans="2:14">
      <c r="B40">
        <v>2024</v>
      </c>
      <c r="C40" s="72">
        <f>HLOOKUP($B$2, White!$B$1:$BJ$10,6)*$B$4+HLOOKUP($B$2, 'Non-His White'!$B$1:$BJ$11, 6,)*'Racial Data Drilldown Dashboard'!$B$3</f>
        <v>48003.722107490248</v>
      </c>
      <c r="D40" s="72">
        <f>HLOOKUP($B$2, Black!$B$1:$BJ$10,6)*$B$4+HLOOKUP($B$2,'Non-His Black'!$B$1:$BJ$11, 6,)*'Racial Data Drilldown Dashboard'!$B$3</f>
        <v>14421.024078757408</v>
      </c>
      <c r="E40" s="72">
        <f>HLOOKUP($B$2, LatinX!$B$1:$BJ$10,6)*$B$4+HLOOKUP($B$2,'Hispanic (LatinX)'!$B$1:$BJ$11, 6,)*'Racial Data Drilldown Dashboard'!$B$3</f>
        <v>5759.953814559286</v>
      </c>
      <c r="F40" s="72">
        <f>HLOOKUP($B$2, 'Asian-Pacific Islander'!$B$1:$BJ$10,6)*$B$4+HLOOKUP($B$2,'Asian - Pacific Islander'!$B$1:$BJ$11, 6,)*'Racial Data Drilldown Dashboard'!$B$3</f>
        <v>1561.2213694224561</v>
      </c>
      <c r="G40" s="72">
        <f>HLOOKUP($B$2,'Other W'!$B$1:$BJ$10,6)*$B$4+HLOOKUP($B$2,'Other G'!$B$1:$BJ$11, 6,)*'Racial Data Drilldown Dashboard'!$B$3</f>
        <v>2537.8998048395706</v>
      </c>
      <c r="H40" s="72">
        <f t="shared" si="4"/>
        <v>72283.821175068981</v>
      </c>
    </row>
    <row r="41" spans="2:14">
      <c r="B41">
        <v>2025</v>
      </c>
      <c r="C41" s="72">
        <f>HLOOKUP($B$2, White!$B$1:$BJ$10,7)*$B$4+HLOOKUP($B$2, 'Non-His White'!$B$1:$BJ$11, 7,)*'Racial Data Drilldown Dashboard'!$B$3</f>
        <v>50142.48706713444</v>
      </c>
      <c r="D41" s="72">
        <f>HLOOKUP($B$2, Black!$B$1:$BJ$10,7)*$B$4+HLOOKUP($B$2,'Non-His Black'!$B$1:$BJ$11, 7,)*'Racial Data Drilldown Dashboard'!$B$3</f>
        <v>16580.008494271544</v>
      </c>
      <c r="E41" s="72">
        <f>HLOOKUP($B$2, LatinX!$B$1:$BJ$10,7)*$B$4+HLOOKUP($B$2,'Hispanic (LatinX)'!$B$1:$BJ$11, 7,)*'Racial Data Drilldown Dashboard'!$B$3</f>
        <v>6487.2553152985274</v>
      </c>
      <c r="F41" s="72">
        <f>HLOOKUP($B$2, 'Asian-Pacific Islander'!$B$1:$BJ$10,7)*$B$4+HLOOKUP($B$2,'Asian - Pacific Islander'!$B$1:$BJ$11, 7,)*'Racial Data Drilldown Dashboard'!$B$3</f>
        <v>1985.1949243921861</v>
      </c>
      <c r="G41" s="72">
        <f>HLOOKUP($B$2,'Other W'!$B$1:$BJ$10,7)*$B$4+HLOOKUP($B$2,'Other G'!$B$1:$BJ$11, 7,)*'Racial Data Drilldown Dashboard'!$B$3</f>
        <v>2660.5970363506285</v>
      </c>
      <c r="H41" s="72">
        <f t="shared" si="4"/>
        <v>77855.542837447341</v>
      </c>
    </row>
    <row r="42" spans="2:14">
      <c r="B42">
        <v>2026</v>
      </c>
      <c r="C42" s="72">
        <f>HLOOKUP($B$2, White!$B$1:$BJ$10,8)*$B$4+HLOOKUP($B$2, 'Non-His White'!$B$1:$BJ$11, 8,)*'Racial Data Drilldown Dashboard'!$B$3</f>
        <v>49274.914447247254</v>
      </c>
      <c r="D42" s="72">
        <f>HLOOKUP($B$2, Black!$B$1:$BJ$10,8)*$B$4+HLOOKUP($B$2,'Non-His Black'!$B$1:$BJ$11, 8,)*'Racial Data Drilldown Dashboard'!$B$3</f>
        <v>14737.529949506648</v>
      </c>
      <c r="E42" s="72">
        <f>HLOOKUP($B$2, LatinX!$B$1:$BJ$10,8)*$B$4+HLOOKUP($B$2,'Hispanic (LatinX)'!$B$1:$BJ$11, 8,)*'Racial Data Drilldown Dashboard'!$B$3</f>
        <v>5852.278651984805</v>
      </c>
      <c r="F42" s="72">
        <f>HLOOKUP($B$2, 'Asian-Pacific Islander'!$B$1:$BJ$10,8)*$B$4+HLOOKUP($B$2,'Asian - Pacific Islander'!$B$1:$BJ$11, 8,)*'Racial Data Drilldown Dashboard'!$B$3</f>
        <v>889.63687250668204</v>
      </c>
      <c r="G42" s="72">
        <f>HLOOKUP($B$2,'Other W'!$B$1:$BJ$10,8)*$B$4+HLOOKUP($B$2,'Other G'!$B$1:$BJ$11, 8,)*'Racial Data Drilldown Dashboard'!$B$3</f>
        <v>2532.9342071394567</v>
      </c>
      <c r="H42" s="72">
        <f t="shared" si="4"/>
        <v>73287.294128384849</v>
      </c>
    </row>
    <row r="43" spans="2:14">
      <c r="B43">
        <v>2027</v>
      </c>
      <c r="C43" s="72">
        <f>HLOOKUP($B$2, White!$B$1:$BJ$10,9)*$B$4+HLOOKUP($B$2, 'Non-His White'!$B$1:$BJ$11, 9,)*'Racial Data Drilldown Dashboard'!$B$3</f>
        <v>45019.243706051268</v>
      </c>
      <c r="D43" s="72">
        <f>HLOOKUP($B$2, Black!$B$1:$BJ$10,9)*$B$4+HLOOKUP($B$2,'Non-His Black'!$B$1:$BJ$11, 9,)*'Racial Data Drilldown Dashboard'!$B$3</f>
        <v>15690.518431250415</v>
      </c>
      <c r="E43" s="72">
        <f>HLOOKUP($B$2, LatinX!$B$1:$BJ$10,9)*$B$4+HLOOKUP($B$2,'Hispanic (LatinX)'!$B$1:$BJ$11, 9,)*'Racial Data Drilldown Dashboard'!$B$3</f>
        <v>6902.1789108788907</v>
      </c>
      <c r="F43" s="72">
        <f>HLOOKUP($B$2, 'Asian-Pacific Islander'!$B$1:$BJ$10,9)*$B$4+HLOOKUP($B$2,'Asian - Pacific Islander'!$B$1:$BJ$11,9,)*'Racial Data Drilldown Dashboard'!$B$3</f>
        <v>1669.1637849665331</v>
      </c>
      <c r="G43" s="72">
        <f>HLOOKUP($B$2,'Other W'!$B$1:$BJ$10,9)*$B$4+HLOOKUP($B$2,'Other G'!$B$1:$BJ$11, 9,)*'Racial Data Drilldown Dashboard'!$B$3</f>
        <v>2273.3702818497386</v>
      </c>
      <c r="H43" s="72">
        <f t="shared" si="4"/>
        <v>71554.475114996836</v>
      </c>
    </row>
    <row r="44" spans="2:14">
      <c r="B44">
        <v>2028</v>
      </c>
      <c r="C44" s="72">
        <f>HLOOKUP($B$2, White!$B$1:$BJ$10,10)*$B$4+HLOOKUP($B$2, 'Non-His White'!$B$1:$BJ$11,10,)*'Racial Data Drilldown Dashboard'!$B$3</f>
        <v>43777.058067942533</v>
      </c>
      <c r="D44" s="72">
        <f>HLOOKUP($B$2, Black!$B$1:$BJ$10,10)*$B$4+HLOOKUP($B$2,'Non-His Black'!$B$1:$BJ$11, 10,)*'Racial Data Drilldown Dashboard'!$B$3</f>
        <v>13156.927747125579</v>
      </c>
      <c r="E44" s="72">
        <f>HLOOKUP($B$2, LatinX!$B$1:$BJ$10,10)*$B$4+HLOOKUP($B$2,'Hispanic (LatinX)'!$B$1:$BJ$11, 10,)*'Racial Data Drilldown Dashboard'!$B$3</f>
        <v>6932.5178579409221</v>
      </c>
      <c r="F44" s="72">
        <f>HLOOKUP($B$2, 'Asian-Pacific Islander'!$B$1:$BJ$10,10)*$B$4+HLOOKUP($B$2,'Asian - Pacific Islander'!$B$1:$BJ$11, 10,)*'Racial Data Drilldown Dashboard'!$B$3</f>
        <v>1721.2752830114873</v>
      </c>
      <c r="G44" s="72">
        <f>HLOOKUP($B$2,'Other W'!$B$1:$BJ$10,10)*$B$4+HLOOKUP($B$2,'Other G'!$B$1:$BJ$11, 10,)*'Racial Data Drilldown Dashboard'!$B$3</f>
        <v>2857.2362938163487</v>
      </c>
      <c r="H44" s="72">
        <f t="shared" si="4"/>
        <v>68445.01524983687</v>
      </c>
    </row>
    <row r="45" spans="2:14">
      <c r="B45" t="s">
        <v>41</v>
      </c>
      <c r="C45" s="72">
        <f>C44-C36</f>
        <v>-7787.5008275619766</v>
      </c>
      <c r="D45" s="72">
        <f t="shared" ref="D45:H45" si="5">D44-D36</f>
        <v>-2010.7077475493988</v>
      </c>
      <c r="E45" s="72">
        <f t="shared" si="5"/>
        <v>2360.2359188781375</v>
      </c>
      <c r="F45" s="72">
        <f t="shared" si="5"/>
        <v>229.13305790503023</v>
      </c>
      <c r="G45" s="72">
        <f>G44-G36</f>
        <v>893.97843498228212</v>
      </c>
      <c r="H45" s="72">
        <f t="shared" si="5"/>
        <v>-6314.8611633459223</v>
      </c>
    </row>
    <row r="47" spans="2:14">
      <c r="B47" s="1" t="s">
        <v>42</v>
      </c>
    </row>
    <row r="48" spans="2:14">
      <c r="C48" s="1" t="s">
        <v>35</v>
      </c>
      <c r="D48" s="1" t="s">
        <v>36</v>
      </c>
      <c r="E48" s="1" t="s">
        <v>37</v>
      </c>
      <c r="F48" s="1" t="s">
        <v>38</v>
      </c>
      <c r="G48" s="1" t="s">
        <v>39</v>
      </c>
      <c r="H48" s="1" t="s">
        <v>40</v>
      </c>
    </row>
    <row r="49" spans="2:8">
      <c r="B49">
        <v>2020</v>
      </c>
      <c r="C49" s="52">
        <f>C36/$H36</f>
        <v>0.68973574288054695</v>
      </c>
      <c r="D49" s="52">
        <f t="shared" ref="D49:G49" si="6">D36/$H36</f>
        <v>0.20288470530430666</v>
      </c>
      <c r="E49" s="52">
        <f t="shared" si="6"/>
        <v>6.1159570593625687E-2</v>
      </c>
      <c r="F49" s="52">
        <f t="shared" si="6"/>
        <v>1.995913177891958E-2</v>
      </c>
      <c r="G49" s="52">
        <f t="shared" si="6"/>
        <v>2.6260849442601208E-2</v>
      </c>
      <c r="H49" s="52">
        <f>SUM(C49:G49)</f>
        <v>1</v>
      </c>
    </row>
    <row r="50" spans="2:8">
      <c r="B50">
        <v>2021</v>
      </c>
      <c r="C50" s="52">
        <f t="shared" ref="C50:G50" si="7">C37/$H37</f>
        <v>0.6577566634768186</v>
      </c>
      <c r="D50" s="52">
        <f t="shared" si="7"/>
        <v>0.21385019036024694</v>
      </c>
      <c r="E50" s="52">
        <f t="shared" si="7"/>
        <v>8.2807012363137061E-2</v>
      </c>
      <c r="F50" s="52">
        <f t="shared" si="7"/>
        <v>1.7525387200721311E-2</v>
      </c>
      <c r="G50" s="52">
        <f t="shared" si="7"/>
        <v>2.8060746599076185E-2</v>
      </c>
      <c r="H50" s="52">
        <f t="shared" ref="H50:H57" si="8">SUM(C50:G50)</f>
        <v>1</v>
      </c>
    </row>
    <row r="51" spans="2:8">
      <c r="B51">
        <v>2022</v>
      </c>
      <c r="C51" s="52">
        <f t="shared" ref="C51:G51" si="9">C38/$H38</f>
        <v>0.68065076317467677</v>
      </c>
      <c r="D51" s="52">
        <f t="shared" si="9"/>
        <v>0.1777538891585419</v>
      </c>
      <c r="E51" s="52">
        <f t="shared" si="9"/>
        <v>8.5124192552791147E-2</v>
      </c>
      <c r="F51" s="52">
        <f t="shared" si="9"/>
        <v>2.6118392902176449E-2</v>
      </c>
      <c r="G51" s="52">
        <f t="shared" si="9"/>
        <v>3.0352762211813773E-2</v>
      </c>
      <c r="H51" s="52">
        <f t="shared" si="8"/>
        <v>1</v>
      </c>
    </row>
    <row r="52" spans="2:8">
      <c r="B52">
        <v>2023</v>
      </c>
      <c r="C52" s="52">
        <f t="shared" ref="C52:G52" si="10">C39/$H39</f>
        <v>0.68610434355001204</v>
      </c>
      <c r="D52" s="52">
        <f t="shared" si="10"/>
        <v>0.18231903340740882</v>
      </c>
      <c r="E52" s="52">
        <f t="shared" si="10"/>
        <v>7.0081814121395303E-2</v>
      </c>
      <c r="F52" s="52">
        <f t="shared" si="10"/>
        <v>3.0678394104115311E-2</v>
      </c>
      <c r="G52" s="52">
        <f t="shared" si="10"/>
        <v>3.0816414817068417E-2</v>
      </c>
      <c r="H52" s="52">
        <f t="shared" si="8"/>
        <v>1</v>
      </c>
    </row>
    <row r="53" spans="2:8">
      <c r="B53">
        <v>2024</v>
      </c>
      <c r="C53" s="52">
        <f t="shared" ref="C53:G53" si="11">C40/$H40</f>
        <v>0.66410050447148949</v>
      </c>
      <c r="D53" s="52">
        <f t="shared" si="11"/>
        <v>0.19950555801180148</v>
      </c>
      <c r="E53" s="52">
        <f t="shared" si="11"/>
        <v>7.9685242436324327E-2</v>
      </c>
      <c r="F53" s="52">
        <f t="shared" si="11"/>
        <v>2.159848973176488E-2</v>
      </c>
      <c r="G53" s="52">
        <f t="shared" si="11"/>
        <v>3.5110205348619611E-2</v>
      </c>
      <c r="H53" s="52">
        <f t="shared" si="8"/>
        <v>0.99999999999999989</v>
      </c>
    </row>
    <row r="54" spans="2:8">
      <c r="B54">
        <v>2025</v>
      </c>
      <c r="C54" s="52">
        <f t="shared" ref="C54:G54" si="12">C41/$H41</f>
        <v>0.64404517956834106</v>
      </c>
      <c r="D54" s="52">
        <f t="shared" si="12"/>
        <v>0.2129586139921795</v>
      </c>
      <c r="E54" s="52">
        <f t="shared" si="12"/>
        <v>8.3324257706906074E-2</v>
      </c>
      <c r="F54" s="52">
        <f t="shared" si="12"/>
        <v>2.5498440471181678E-2</v>
      </c>
      <c r="G54" s="52">
        <f t="shared" si="12"/>
        <v>3.4173508261391525E-2</v>
      </c>
      <c r="H54" s="52">
        <f t="shared" si="8"/>
        <v>0.99999999999999989</v>
      </c>
    </row>
    <row r="55" spans="2:8">
      <c r="B55">
        <v>2026</v>
      </c>
      <c r="C55" s="52">
        <f t="shared" ref="C55:G55" si="13">C42/$H42</f>
        <v>0.67235275955102591</v>
      </c>
      <c r="D55" s="52">
        <f t="shared" si="13"/>
        <v>0.2010925648815661</v>
      </c>
      <c r="E55" s="52">
        <f t="shared" si="13"/>
        <v>7.9853932684876727E-2</v>
      </c>
      <c r="F55" s="52">
        <f t="shared" si="13"/>
        <v>1.213903287175829E-2</v>
      </c>
      <c r="G55" s="52">
        <f t="shared" si="13"/>
        <v>3.4561710010772899E-2</v>
      </c>
      <c r="H55" s="52">
        <f t="shared" si="8"/>
        <v>1</v>
      </c>
    </row>
    <row r="56" spans="2:8">
      <c r="B56">
        <v>2027</v>
      </c>
      <c r="C56" s="52">
        <f t="shared" ref="C56:G56" si="14">C43/$H43</f>
        <v>0.62916042125527172</v>
      </c>
      <c r="D56" s="52">
        <f t="shared" si="14"/>
        <v>0.21928074248373458</v>
      </c>
      <c r="E56" s="52">
        <f t="shared" si="14"/>
        <v>9.6460478534518501E-2</v>
      </c>
      <c r="F56" s="52">
        <f t="shared" si="14"/>
        <v>2.332717530642188E-2</v>
      </c>
      <c r="G56" s="52">
        <f t="shared" si="14"/>
        <v>3.1771182420053438E-2</v>
      </c>
      <c r="H56" s="52">
        <f t="shared" si="8"/>
        <v>1.0000000000000002</v>
      </c>
    </row>
    <row r="57" spans="2:8">
      <c r="B57">
        <v>2028</v>
      </c>
      <c r="C57" s="52">
        <f t="shared" ref="C57:G57" si="15">C44/$H44</f>
        <v>0.63959454034962571</v>
      </c>
      <c r="D57" s="52">
        <f t="shared" si="15"/>
        <v>0.19222623735417951</v>
      </c>
      <c r="E57" s="52">
        <f t="shared" si="15"/>
        <v>0.1012859421922248</v>
      </c>
      <c r="F57" s="52">
        <f t="shared" si="15"/>
        <v>2.514829278258638E-2</v>
      </c>
      <c r="G57" s="52">
        <f t="shared" si="15"/>
        <v>4.1744987321383618E-2</v>
      </c>
      <c r="H57" s="52">
        <f t="shared" si="8"/>
        <v>1</v>
      </c>
    </row>
  </sheetData>
  <sheetProtection algorithmName="SHA-512" hashValue="+CxCoGko9yVBsmCK9BOy5UZ4Dz6VpLVE+2rHeIiTXJ7bcXkK1CZSzQ/rWP8j/Ppudguk6sloxCJs9Pa0s1rXog==" saltValue="zORU9QZXucmLN6UU6Vqy0g==" spinCount="100000" sheet="1" scenarios="1" selectLockedCells="1" selectUnlockedCells="1"/>
  <mergeCells count="2">
    <mergeCell ref="B6:N6"/>
    <mergeCell ref="B33:N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B8FA-782D-4A2F-8B2D-967F8A96EDA6}">
  <sheetPr codeName="Sheet4"/>
  <dimension ref="B1:AC52"/>
  <sheetViews>
    <sheetView topLeftCell="A6" workbookViewId="0">
      <selection activeCell="F31" sqref="B30:N31"/>
    </sheetView>
  </sheetViews>
  <sheetFormatPr defaultColWidth="8.85546875" defaultRowHeight="15"/>
  <sheetData>
    <row r="1" spans="2:28">
      <c r="B1" s="79" t="s">
        <v>44</v>
      </c>
      <c r="C1" s="80"/>
      <c r="D1" s="80"/>
      <c r="E1" s="80"/>
      <c r="F1" s="80"/>
      <c r="G1" s="80"/>
      <c r="H1" s="80"/>
      <c r="I1" s="80"/>
      <c r="J1" s="80"/>
      <c r="K1" s="80"/>
      <c r="L1" s="80"/>
      <c r="M1" s="80"/>
      <c r="N1" s="81"/>
      <c r="P1" s="79" t="s">
        <v>45</v>
      </c>
      <c r="Q1" s="80"/>
      <c r="R1" s="80"/>
      <c r="S1" s="80"/>
      <c r="T1" s="80"/>
      <c r="U1" s="80"/>
      <c r="V1" s="80"/>
      <c r="W1" s="80"/>
      <c r="X1" s="80"/>
      <c r="Y1" s="80"/>
      <c r="Z1" s="80"/>
      <c r="AA1" s="80"/>
      <c r="AB1" s="81"/>
    </row>
    <row r="2" spans="2:28">
      <c r="B2" s="24"/>
      <c r="C2" s="25" t="str">
        <f>'State comparison'!B1</f>
        <v>AL</v>
      </c>
      <c r="D2" s="26" t="str">
        <f>VLOOKUP($C$2, 'States + Continguous'!$A$2:$M$52, 2,)</f>
        <v>FL</v>
      </c>
      <c r="E2" s="26" t="str">
        <f>VLOOKUP($C$2, 'States + Continguous'!$A$2:$M$52, 3,)</f>
        <v>GA</v>
      </c>
      <c r="F2" s="26" t="str">
        <f>VLOOKUP($C$2, 'States + Continguous'!$A$2:$M$52, 4,)</f>
        <v>TN</v>
      </c>
      <c r="G2" s="26" t="str">
        <f>VLOOKUP($C$2, 'States + Continguous'!$A$2:$M$52, 5,)</f>
        <v>MS</v>
      </c>
      <c r="H2" s="26">
        <f>VLOOKUP($C$2, 'States + Continguous'!$A$2:$M$52, 6,)</f>
        <v>0</v>
      </c>
      <c r="I2" s="26">
        <f>VLOOKUP($C$2, 'States + Continguous'!$A$2:$M$52, 7,)</f>
        <v>0</v>
      </c>
      <c r="J2" s="26">
        <f>VLOOKUP($C$2, 'States + Continguous'!$A$2:$M$52, 8,)</f>
        <v>0</v>
      </c>
      <c r="K2" s="26">
        <f>VLOOKUP($C$2, 'States + Continguous'!$A$2:$M$52, 9,)</f>
        <v>0</v>
      </c>
      <c r="L2" s="26">
        <f>VLOOKUP($C$2, 'States + Continguous'!$A$2:$M$52, 10,)</f>
        <v>0</v>
      </c>
      <c r="M2" s="26">
        <f>VLOOKUP($C$2, 'States + Continguous'!$A$2:$M$52, 11,)</f>
        <v>0</v>
      </c>
      <c r="N2" s="27">
        <f>VLOOKUP($C$2, 'States + Continguous'!$A$2:$M$52, 12,)</f>
        <v>0</v>
      </c>
      <c r="P2" s="24"/>
      <c r="Q2" s="25" t="str">
        <f>C2</f>
        <v>AL</v>
      </c>
      <c r="R2" s="26" t="str">
        <f>VLOOKUP($C$2, 'States + Continguous'!$A$2:$M$52, 2,)</f>
        <v>FL</v>
      </c>
      <c r="S2" s="26" t="str">
        <f>VLOOKUP($C$2, 'States + Continguous'!$A$2:$M$52, 3,)</f>
        <v>GA</v>
      </c>
      <c r="T2" s="26" t="str">
        <f>VLOOKUP($C$2, 'States + Continguous'!$A$2:$M$52, 4,)</f>
        <v>TN</v>
      </c>
      <c r="U2" s="26" t="str">
        <f>VLOOKUP($C$2, 'States + Continguous'!$A$2:$M$52, 5,)</f>
        <v>MS</v>
      </c>
      <c r="V2" s="26">
        <f>VLOOKUP($C$2, 'States + Continguous'!$A$2:$M$52, 6,)</f>
        <v>0</v>
      </c>
      <c r="W2" s="26">
        <f>VLOOKUP($C$2, 'States + Continguous'!$A$2:$M$52, 7,)</f>
        <v>0</v>
      </c>
      <c r="X2" s="26">
        <f>VLOOKUP($C$2, 'States + Continguous'!$A$2:$M$52, 8,)</f>
        <v>0</v>
      </c>
      <c r="Y2" s="26">
        <f>VLOOKUP($C$2, 'States + Continguous'!$A$2:$M$52, 9,)</f>
        <v>0</v>
      </c>
      <c r="Z2" s="26">
        <f>VLOOKUP($C$2, 'States + Continguous'!$A$2:$M$52, 10,)</f>
        <v>0</v>
      </c>
      <c r="AA2" s="26">
        <f>VLOOKUP($C$2, 'States + Continguous'!$A$2:$M$52, 11,)</f>
        <v>0</v>
      </c>
      <c r="AB2" s="27">
        <f>VLOOKUP($C$2, 'States + Continguous'!$A$2:$M$52, 12,)</f>
        <v>0</v>
      </c>
    </row>
    <row r="3" spans="2:28">
      <c r="B3" s="24">
        <v>2020</v>
      </c>
      <c r="C3" s="28">
        <f>HLOOKUP(C$2, 'New Grawe'!$B$1:$BK$10,2,)</f>
        <v>46325</v>
      </c>
      <c r="D3" s="28">
        <f>HLOOKUP(D$2, 'New Grawe'!$B$1:$BK$10,2,)</f>
        <v>179562</v>
      </c>
      <c r="E3" s="28">
        <f>HLOOKUP(E$2, 'New Grawe'!$B$1:$BK$10,2,)</f>
        <v>108534</v>
      </c>
      <c r="F3" s="28">
        <f>HLOOKUP(F$2, 'New Grawe'!$B$1:$BK$10,2,)</f>
        <v>57236</v>
      </c>
      <c r="G3" s="28">
        <f>HLOOKUP(G$2, 'New Grawe'!$B$1:$BK$10,2,)</f>
        <v>26121</v>
      </c>
      <c r="H3" s="28" t="e">
        <f>HLOOKUP(H$2, 'New Grawe'!$B$1:$BK$10,2,)</f>
        <v>#N/A</v>
      </c>
      <c r="I3" s="28" t="e">
        <f>HLOOKUP(I$2, 'New Grawe'!$B$1:$BK$10,2,)</f>
        <v>#N/A</v>
      </c>
      <c r="J3" s="28" t="e">
        <f>HLOOKUP(J$2, 'New Grawe'!$B$1:$BK$10,2,)</f>
        <v>#N/A</v>
      </c>
      <c r="K3" s="28" t="e">
        <f>HLOOKUP(K$2, 'New Grawe'!$B$1:$BK$10,2,)</f>
        <v>#N/A</v>
      </c>
      <c r="L3" s="28" t="e">
        <f>HLOOKUP(L$2, 'New Grawe'!$B$1:$BK$10,2,)</f>
        <v>#N/A</v>
      </c>
      <c r="M3" s="28" t="e">
        <f>HLOOKUP(M$2, 'New Grawe'!$B$1:$BK$10,2,)</f>
        <v>#N/A</v>
      </c>
      <c r="N3" s="29" t="e">
        <f>HLOOKUP(N$2, 'New Grawe'!$B$1:$BK$10,2,)</f>
        <v>#N/A</v>
      </c>
      <c r="P3" s="24">
        <v>2020</v>
      </c>
      <c r="Q3" s="28">
        <f>HLOOKUP(Q$2, 'New WICHE'!$B$1:$BK$10,2,)</f>
        <v>52550</v>
      </c>
      <c r="R3" s="28">
        <f>HLOOKUP(R$2, 'New WICHE'!$B$1:$BK$10,2,)</f>
        <v>180530</v>
      </c>
      <c r="S3" s="28">
        <f>HLOOKUP(S$2, 'New WICHE'!$B$1:$BK$10,2,)</f>
        <v>122310</v>
      </c>
      <c r="T3" s="28">
        <f>HLOOKUP(T$2, 'New WICHE'!$B$1:$BK$10,2,)</f>
        <v>72130</v>
      </c>
      <c r="U3" s="28">
        <f>HLOOKUP(U$2, 'New WICHE'!$B$1:$BK$10,2,)</f>
        <v>31310</v>
      </c>
      <c r="V3" s="28" t="e">
        <f>HLOOKUP(V$2, 'New WICHE'!$B$1:$BK$10,2,)</f>
        <v>#N/A</v>
      </c>
      <c r="W3" s="28" t="e">
        <f>HLOOKUP(W$2, 'New WICHE'!$B$1:$BK$10,2,)</f>
        <v>#N/A</v>
      </c>
      <c r="X3" s="28" t="e">
        <f>HLOOKUP(X$2, 'New WICHE'!$B$1:$BK$10,2,)</f>
        <v>#N/A</v>
      </c>
      <c r="Y3" s="28" t="e">
        <f>HLOOKUP(Y$2, 'New WICHE'!$B$1:$BK$10,2,)</f>
        <v>#N/A</v>
      </c>
      <c r="Z3" s="28" t="e">
        <f>HLOOKUP(Z$2, 'New WICHE'!$B$1:$BK$10,2,)</f>
        <v>#N/A</v>
      </c>
      <c r="AA3" s="28" t="e">
        <f>HLOOKUP(AA$2, 'New WICHE'!$B$1:$BK$10,2,)</f>
        <v>#N/A</v>
      </c>
      <c r="AB3" s="29" t="e">
        <f>HLOOKUP(AB$2, 'New WICHE'!$B$1:$BK$10,2,)</f>
        <v>#N/A</v>
      </c>
    </row>
    <row r="4" spans="2:28">
      <c r="B4" s="24">
        <v>2021</v>
      </c>
      <c r="C4" s="28">
        <f>HLOOKUP(C$2, 'New Grawe'!$B$1:$BK$10,3,)</f>
        <v>44068</v>
      </c>
      <c r="D4" s="28">
        <f>HLOOKUP(D$2, 'New Grawe'!$B$1:$BK$10,3,)</f>
        <v>186046</v>
      </c>
      <c r="E4" s="28">
        <f>HLOOKUP(E$2, 'New Grawe'!$B$1:$BK$10,3,)</f>
        <v>112647</v>
      </c>
      <c r="F4" s="28">
        <f>HLOOKUP(F$2, 'New Grawe'!$B$1:$BK$10,3,)</f>
        <v>60555</v>
      </c>
      <c r="G4" s="28">
        <f>HLOOKUP(G$2, 'New Grawe'!$B$1:$BK$10,3,)</f>
        <v>27051</v>
      </c>
      <c r="H4" s="28" t="e">
        <f>HLOOKUP(H$2, 'New Grawe'!$B$1:$BK$10,3,)</f>
        <v>#N/A</v>
      </c>
      <c r="I4" s="28" t="e">
        <f>HLOOKUP(I$2, 'New Grawe'!$B$1:$BK$10,3,)</f>
        <v>#N/A</v>
      </c>
      <c r="J4" s="28" t="e">
        <f>HLOOKUP(J$2, 'New Grawe'!$B$1:$BK$10,3,)</f>
        <v>#N/A</v>
      </c>
      <c r="K4" s="28" t="e">
        <f>HLOOKUP(K$2, 'New Grawe'!$B$1:$BK$10,3,)</f>
        <v>#N/A</v>
      </c>
      <c r="L4" s="28" t="e">
        <f>HLOOKUP(L$2, 'New Grawe'!$B$1:$BK$10,3,)</f>
        <v>#N/A</v>
      </c>
      <c r="M4" s="28" t="e">
        <f>HLOOKUP(M$2, 'New Grawe'!$B$1:$BK$10,3,)</f>
        <v>#N/A</v>
      </c>
      <c r="N4" s="29" t="e">
        <f>HLOOKUP(N$2, 'New Grawe'!$B$1:$BK$10,3,)</f>
        <v>#N/A</v>
      </c>
      <c r="P4" s="24">
        <v>2021</v>
      </c>
      <c r="Q4" s="28">
        <f>HLOOKUP(Q$2, 'New WICHE'!$B$1:$BK$10,3,)</f>
        <v>51750</v>
      </c>
      <c r="R4" s="28">
        <f>HLOOKUP(R$2, 'New WICHE'!$B$1:$BK$10,3,)</f>
        <v>181010</v>
      </c>
      <c r="S4" s="28">
        <f>HLOOKUP(S$2, 'New WICHE'!$B$1:$BK$10,3,)</f>
        <v>120560</v>
      </c>
      <c r="T4" s="28">
        <f>HLOOKUP(T$2, 'New WICHE'!$B$1:$BK$10,3,)</f>
        <v>72010</v>
      </c>
      <c r="U4" s="28">
        <f>HLOOKUP(U$2, 'New WICHE'!$B$1:$BK$10,3,)</f>
        <v>30630</v>
      </c>
      <c r="V4" s="28" t="e">
        <f>HLOOKUP(V$2, 'New WICHE'!$B$1:$BK$10,3,)</f>
        <v>#N/A</v>
      </c>
      <c r="W4" s="28" t="e">
        <f>HLOOKUP(W$2, 'New WICHE'!$B$1:$BK$10,3,)</f>
        <v>#N/A</v>
      </c>
      <c r="X4" s="28" t="e">
        <f>HLOOKUP(X$2, 'New WICHE'!$B$1:$BK$10,3,)</f>
        <v>#N/A</v>
      </c>
      <c r="Y4" s="28" t="e">
        <f>HLOOKUP(Y$2, 'New WICHE'!$B$1:$BK$10,3,)</f>
        <v>#N/A</v>
      </c>
      <c r="Z4" s="28" t="e">
        <f>HLOOKUP(Z$2, 'New WICHE'!$B$1:$BK$10,3,)</f>
        <v>#N/A</v>
      </c>
      <c r="AA4" s="28" t="e">
        <f>HLOOKUP(AA$2, 'New WICHE'!$B$1:$BK$10,3,)</f>
        <v>#N/A</v>
      </c>
      <c r="AB4" s="29" t="e">
        <f>HLOOKUP(AB$2, 'New WICHE'!$B$1:$BK$10,3,)</f>
        <v>#N/A</v>
      </c>
    </row>
    <row r="5" spans="2:28">
      <c r="B5" s="24">
        <v>2022</v>
      </c>
      <c r="C5" s="28">
        <f>HLOOKUP(C$2, 'New Grawe'!$B$1:$BK$10,4,)</f>
        <v>42466</v>
      </c>
      <c r="D5" s="28">
        <f>HLOOKUP(D$2, 'New Grawe'!$B$1:$BK$10,4,)</f>
        <v>189161</v>
      </c>
      <c r="E5" s="28">
        <f>HLOOKUP(E$2, 'New Grawe'!$B$1:$BK$10,4,)</f>
        <v>104570</v>
      </c>
      <c r="F5" s="28">
        <f>HLOOKUP(F$2, 'New Grawe'!$B$1:$BK$10,4,)</f>
        <v>59779.5</v>
      </c>
      <c r="G5" s="28">
        <f>HLOOKUP(G$2, 'New Grawe'!$B$1:$BK$10,4,)</f>
        <v>27822.5</v>
      </c>
      <c r="H5" s="28" t="e">
        <f>HLOOKUP(H$2, 'New Grawe'!$B$1:$BK$10,4,)</f>
        <v>#N/A</v>
      </c>
      <c r="I5" s="28" t="e">
        <f>HLOOKUP(I$2, 'New Grawe'!$B$1:$BK$10,4,)</f>
        <v>#N/A</v>
      </c>
      <c r="J5" s="28" t="e">
        <f>HLOOKUP(J$2, 'New Grawe'!$B$1:$BK$10,4,)</f>
        <v>#N/A</v>
      </c>
      <c r="K5" s="28" t="e">
        <f>HLOOKUP(K$2, 'New Grawe'!$B$1:$BK$10,4,)</f>
        <v>#N/A</v>
      </c>
      <c r="L5" s="28" t="e">
        <f>HLOOKUP(L$2, 'New Grawe'!$B$1:$BK$10,4,)</f>
        <v>#N/A</v>
      </c>
      <c r="M5" s="28" t="e">
        <f>HLOOKUP(M$2, 'New Grawe'!$B$1:$BK$10,4,)</f>
        <v>#N/A</v>
      </c>
      <c r="N5" s="29" t="e">
        <f>HLOOKUP(N$2, 'New Grawe'!$B$1:$BK$10,4,)</f>
        <v>#N/A</v>
      </c>
      <c r="P5" s="24">
        <v>2022</v>
      </c>
      <c r="Q5" s="28">
        <f>HLOOKUP(Q$2, 'New WICHE'!$B$1:$BK$10,4,)</f>
        <v>51410</v>
      </c>
      <c r="R5" s="28">
        <f>HLOOKUP(R$2, 'New WICHE'!$B$1:$BK$10,4,)</f>
        <v>183340</v>
      </c>
      <c r="S5" s="28">
        <f>HLOOKUP(S$2, 'New WICHE'!$B$1:$BK$10,4,)</f>
        <v>119360</v>
      </c>
      <c r="T5" s="28">
        <f>HLOOKUP(T$2, 'New WICHE'!$B$1:$BK$10,4,)</f>
        <v>72480</v>
      </c>
      <c r="U5" s="28">
        <f>HLOOKUP(U$2, 'New WICHE'!$B$1:$BK$10,4,)</f>
        <v>31000</v>
      </c>
      <c r="V5" s="28" t="e">
        <f>HLOOKUP(V$2, 'New WICHE'!$B$1:$BK$10,4,)</f>
        <v>#N/A</v>
      </c>
      <c r="W5" s="28" t="e">
        <f>HLOOKUP(W$2, 'New WICHE'!$B$1:$BK$10,4,)</f>
        <v>#N/A</v>
      </c>
      <c r="X5" s="28" t="e">
        <f>HLOOKUP(X$2, 'New WICHE'!$B$1:$BK$10,4,)</f>
        <v>#N/A</v>
      </c>
      <c r="Y5" s="28" t="e">
        <f>HLOOKUP(Y$2, 'New WICHE'!$B$1:$BK$10,4,)</f>
        <v>#N/A</v>
      </c>
      <c r="Z5" s="28" t="e">
        <f>HLOOKUP(Z$2, 'New WICHE'!$B$1:$BK$10,4,)</f>
        <v>#N/A</v>
      </c>
      <c r="AA5" s="28" t="e">
        <f>HLOOKUP(AA$2, 'New WICHE'!$B$1:$BK$10,4,)</f>
        <v>#N/A</v>
      </c>
      <c r="AB5" s="29" t="e">
        <f>HLOOKUP(AB$2, 'New WICHE'!$B$1:$BK$10,4,)</f>
        <v>#N/A</v>
      </c>
    </row>
    <row r="6" spans="2:28">
      <c r="B6" s="24">
        <v>2023</v>
      </c>
      <c r="C6" s="28">
        <f>HLOOKUP(C$2, 'New Grawe'!$B$1:$BK$10,5,)</f>
        <v>45902</v>
      </c>
      <c r="D6" s="28">
        <f>HLOOKUP(D$2, 'New Grawe'!$B$1:$BK$10,5,)</f>
        <v>191269</v>
      </c>
      <c r="E6" s="28">
        <f>HLOOKUP(E$2, 'New Grawe'!$B$1:$BK$10,5,)</f>
        <v>103414</v>
      </c>
      <c r="F6" s="28">
        <f>HLOOKUP(F$2, 'New Grawe'!$B$1:$BK$10,5,)</f>
        <v>61129</v>
      </c>
      <c r="G6" s="28">
        <f>HLOOKUP(G$2, 'New Grawe'!$B$1:$BK$10,5,)</f>
        <v>26640.5</v>
      </c>
      <c r="H6" s="28" t="e">
        <f>HLOOKUP(H$2, 'New Grawe'!$B$1:$BK$10,5,)</f>
        <v>#N/A</v>
      </c>
      <c r="I6" s="28" t="e">
        <f>HLOOKUP(I$2, 'New Grawe'!$B$1:$BK$10,5,)</f>
        <v>#N/A</v>
      </c>
      <c r="J6" s="28" t="e">
        <f>HLOOKUP(J$2, 'New Grawe'!$B$1:$BK$10,5,)</f>
        <v>#N/A</v>
      </c>
      <c r="K6" s="28" t="e">
        <f>HLOOKUP(K$2, 'New Grawe'!$B$1:$BK$10,5,)</f>
        <v>#N/A</v>
      </c>
      <c r="L6" s="28" t="e">
        <f>HLOOKUP(L$2, 'New Grawe'!$B$1:$BK$10,5,)</f>
        <v>#N/A</v>
      </c>
      <c r="M6" s="28" t="e">
        <f>HLOOKUP(M$2, 'New Grawe'!$B$1:$BK$10,5,)</f>
        <v>#N/A</v>
      </c>
      <c r="N6" s="29" t="e">
        <f>HLOOKUP(N$2, 'New Grawe'!$B$1:$BK$10,5,)</f>
        <v>#N/A</v>
      </c>
      <c r="P6" s="24">
        <v>2023</v>
      </c>
      <c r="Q6" s="28">
        <f>HLOOKUP(Q$2, 'New WICHE'!$B$1:$BK$10,5,)</f>
        <v>51770</v>
      </c>
      <c r="R6" s="28">
        <f>HLOOKUP(R$2, 'New WICHE'!$B$1:$BK$10,5,)</f>
        <v>187890</v>
      </c>
      <c r="S6" s="28">
        <f>HLOOKUP(S$2, 'New WICHE'!$B$1:$BK$10,5,)</f>
        <v>121190</v>
      </c>
      <c r="T6" s="28">
        <f>HLOOKUP(T$2, 'New WICHE'!$B$1:$BK$10,5,)</f>
        <v>73310</v>
      </c>
      <c r="U6" s="28">
        <f>HLOOKUP(U$2, 'New WICHE'!$B$1:$BK$10,5,)</f>
        <v>30760</v>
      </c>
      <c r="V6" s="28" t="e">
        <f>HLOOKUP(V$2, 'New WICHE'!$B$1:$BK$10,5,)</f>
        <v>#N/A</v>
      </c>
      <c r="W6" s="28" t="e">
        <f>HLOOKUP(W$2, 'New WICHE'!$B$1:$BK$10,5,)</f>
        <v>#N/A</v>
      </c>
      <c r="X6" s="28" t="e">
        <f>HLOOKUP(X$2, 'New WICHE'!$B$1:$BK$10,5,)</f>
        <v>#N/A</v>
      </c>
      <c r="Y6" s="28" t="e">
        <f>HLOOKUP(Y$2, 'New WICHE'!$B$1:$BK$10,5,)</f>
        <v>#N/A</v>
      </c>
      <c r="Z6" s="28" t="e">
        <f>HLOOKUP(Z$2, 'New WICHE'!$B$1:$BK$10,5,)</f>
        <v>#N/A</v>
      </c>
      <c r="AA6" s="28" t="e">
        <f>HLOOKUP(AA$2, 'New WICHE'!$B$1:$BK$10,5,)</f>
        <v>#N/A</v>
      </c>
      <c r="AB6" s="29" t="e">
        <f>HLOOKUP(AB$2, 'New WICHE'!$B$1:$BK$10,5,)</f>
        <v>#N/A</v>
      </c>
    </row>
    <row r="7" spans="2:28">
      <c r="B7" s="24">
        <v>2024</v>
      </c>
      <c r="C7" s="28">
        <f>HLOOKUP(C$2, 'New Grawe'!$B$1:$BK$10,6,)</f>
        <v>47402</v>
      </c>
      <c r="D7" s="28">
        <f>HLOOKUP(D$2, 'New Grawe'!$B$1:$BK$10,6,)</f>
        <v>189614</v>
      </c>
      <c r="E7" s="28">
        <f>HLOOKUP(E$2, 'New Grawe'!$B$1:$BK$10,6,)</f>
        <v>107549</v>
      </c>
      <c r="F7" s="28">
        <f>HLOOKUP(F$2, 'New Grawe'!$B$1:$BK$10,6,)</f>
        <v>60095</v>
      </c>
      <c r="G7" s="28">
        <f>HLOOKUP(G$2, 'New Grawe'!$B$1:$BK$10,6,)</f>
        <v>29286</v>
      </c>
      <c r="H7" s="28" t="e">
        <f>HLOOKUP(H$2, 'New Grawe'!$B$1:$BK$10,6,)</f>
        <v>#N/A</v>
      </c>
      <c r="I7" s="28" t="e">
        <f>HLOOKUP(I$2, 'New Grawe'!$B$1:$BK$10,6,)</f>
        <v>#N/A</v>
      </c>
      <c r="J7" s="28" t="e">
        <f>HLOOKUP(J$2, 'New Grawe'!$B$1:$BK$10,6,)</f>
        <v>#N/A</v>
      </c>
      <c r="K7" s="28" t="e">
        <f>HLOOKUP(K$2, 'New Grawe'!$B$1:$BK$10,6,)</f>
        <v>#N/A</v>
      </c>
      <c r="L7" s="28" t="e">
        <f>HLOOKUP(L$2, 'New Grawe'!$B$1:$BK$10,6,)</f>
        <v>#N/A</v>
      </c>
      <c r="M7" s="28" t="e">
        <f>HLOOKUP(M$2, 'New Grawe'!$B$1:$BK$10,6,)</f>
        <v>#N/A</v>
      </c>
      <c r="N7" s="29" t="e">
        <f>HLOOKUP(N$2, 'New Grawe'!$B$1:$BK$10,6,)</f>
        <v>#N/A</v>
      </c>
      <c r="P7" s="24">
        <v>2024</v>
      </c>
      <c r="Q7" s="28">
        <f>HLOOKUP(Q$2, 'New WICHE'!$B$1:$BK$10,6,)</f>
        <v>52080</v>
      </c>
      <c r="R7" s="28">
        <f>HLOOKUP(R$2, 'New WICHE'!$B$1:$BK$10,6,)</f>
        <v>197390</v>
      </c>
      <c r="S7" s="28">
        <f>HLOOKUP(S$2, 'New WICHE'!$B$1:$BK$10,6,)</f>
        <v>123780</v>
      </c>
      <c r="T7" s="28">
        <f>HLOOKUP(T$2, 'New WICHE'!$B$1:$BK$10,6,)</f>
        <v>75070</v>
      </c>
      <c r="U7" s="28">
        <f>HLOOKUP(U$2, 'New WICHE'!$B$1:$BK$10,6,)</f>
        <v>30810</v>
      </c>
      <c r="V7" s="28" t="e">
        <f>HLOOKUP(V$2, 'New WICHE'!$B$1:$BK$10,6,)</f>
        <v>#N/A</v>
      </c>
      <c r="W7" s="28" t="e">
        <f>HLOOKUP(W$2, 'New WICHE'!$B$1:$BK$10,6,)</f>
        <v>#N/A</v>
      </c>
      <c r="X7" s="28" t="e">
        <f>HLOOKUP(X$2, 'New WICHE'!$B$1:$BK$10,6,)</f>
        <v>#N/A</v>
      </c>
      <c r="Y7" s="28" t="e">
        <f>HLOOKUP(Y$2, 'New WICHE'!$B$1:$BK$10,6,)</f>
        <v>#N/A</v>
      </c>
      <c r="Z7" s="28" t="e">
        <f>HLOOKUP(Z$2, 'New WICHE'!$B$1:$BK$10,6,)</f>
        <v>#N/A</v>
      </c>
      <c r="AA7" s="28" t="e">
        <f>HLOOKUP(AA$2, 'New WICHE'!$B$1:$BK$10,6,)</f>
        <v>#N/A</v>
      </c>
      <c r="AB7" s="29" t="e">
        <f>HLOOKUP(AB$2, 'New WICHE'!$B$1:$BK$10,6,)</f>
        <v>#N/A</v>
      </c>
    </row>
    <row r="8" spans="2:28">
      <c r="B8" s="24">
        <v>2025</v>
      </c>
      <c r="C8" s="28">
        <f>HLOOKUP(C$2, 'New Grawe'!$B$1:$BK$10,7,)</f>
        <v>46222</v>
      </c>
      <c r="D8" s="28">
        <f>HLOOKUP(D$2, 'New Grawe'!$B$1:$BK$10,7,)</f>
        <v>198603</v>
      </c>
      <c r="E8" s="28">
        <f>HLOOKUP(E$2, 'New Grawe'!$B$1:$BK$10,7,)</f>
        <v>107771</v>
      </c>
      <c r="F8" s="28">
        <f>HLOOKUP(F$2, 'New Grawe'!$B$1:$BK$10,7,)</f>
        <v>61907</v>
      </c>
      <c r="G8" s="28">
        <f>HLOOKUP(G$2, 'New Grawe'!$B$1:$BK$10,7,)</f>
        <v>30361</v>
      </c>
      <c r="H8" s="28" t="e">
        <f>HLOOKUP(H$2, 'New Grawe'!$B$1:$BK$10,7,)</f>
        <v>#N/A</v>
      </c>
      <c r="I8" s="28" t="e">
        <f>HLOOKUP(I$2, 'New Grawe'!$B$1:$BK$10,7,)</f>
        <v>#N/A</v>
      </c>
      <c r="J8" s="28" t="e">
        <f>HLOOKUP(J$2, 'New Grawe'!$B$1:$BK$10,7,)</f>
        <v>#N/A</v>
      </c>
      <c r="K8" s="28" t="e">
        <f>HLOOKUP(K$2, 'New Grawe'!$B$1:$BK$10,7,)</f>
        <v>#N/A</v>
      </c>
      <c r="L8" s="28" t="e">
        <f>HLOOKUP(L$2, 'New Grawe'!$B$1:$BK$10,7,)</f>
        <v>#N/A</v>
      </c>
      <c r="M8" s="28" t="e">
        <f>HLOOKUP(M$2, 'New Grawe'!$B$1:$BK$10,7,)</f>
        <v>#N/A</v>
      </c>
      <c r="N8" s="29" t="e">
        <f>HLOOKUP(N$2, 'New Grawe'!$B$1:$BK$10,7,)</f>
        <v>#N/A</v>
      </c>
      <c r="P8" s="24">
        <v>2025</v>
      </c>
      <c r="Q8" s="28">
        <f>HLOOKUP(Q$2, 'New WICHE'!$B$1:$BK$10,7,)</f>
        <v>53640</v>
      </c>
      <c r="R8" s="28">
        <f>HLOOKUP(R$2, 'New WICHE'!$B$1:$BK$10,7,)</f>
        <v>196810</v>
      </c>
      <c r="S8" s="28">
        <f>HLOOKUP(S$2, 'New WICHE'!$B$1:$BK$10,7,)</f>
        <v>127690</v>
      </c>
      <c r="T8" s="28">
        <f>HLOOKUP(T$2, 'New WICHE'!$B$1:$BK$10,7,)</f>
        <v>76880</v>
      </c>
      <c r="U8" s="28">
        <f>HLOOKUP(U$2, 'New WICHE'!$B$1:$BK$10,7,)</f>
        <v>32910</v>
      </c>
      <c r="V8" s="28" t="e">
        <f>HLOOKUP(V$2, 'New WICHE'!$B$1:$BK$10,7,)</f>
        <v>#N/A</v>
      </c>
      <c r="W8" s="28" t="e">
        <f>HLOOKUP(W$2, 'New WICHE'!$B$1:$BK$10,7,)</f>
        <v>#N/A</v>
      </c>
      <c r="X8" s="28" t="e">
        <f>HLOOKUP(X$2, 'New WICHE'!$B$1:$BK$10,7,)</f>
        <v>#N/A</v>
      </c>
      <c r="Y8" s="28" t="e">
        <f>HLOOKUP(Y$2, 'New WICHE'!$B$1:$BK$10,7,)</f>
        <v>#N/A</v>
      </c>
      <c r="Z8" s="28" t="e">
        <f>HLOOKUP(Z$2, 'New WICHE'!$B$1:$BK$10,7,)</f>
        <v>#N/A</v>
      </c>
      <c r="AA8" s="28" t="e">
        <f>HLOOKUP(AA$2, 'New WICHE'!$B$1:$BK$10,7,)</f>
        <v>#N/A</v>
      </c>
      <c r="AB8" s="29" t="e">
        <f>HLOOKUP(AB$2, 'New WICHE'!$B$1:$BK$10,7,)</f>
        <v>#N/A</v>
      </c>
    </row>
    <row r="9" spans="2:28">
      <c r="B9" s="24">
        <v>2026</v>
      </c>
      <c r="C9" s="28">
        <f>HLOOKUP(C$2, 'New Grawe'!$B$1:$BK$10,8,)</f>
        <v>47061</v>
      </c>
      <c r="D9" s="28">
        <f>HLOOKUP(D$2, 'New Grawe'!$B$1:$BK$10,8,)</f>
        <v>194420</v>
      </c>
      <c r="E9" s="28">
        <f>HLOOKUP(E$2, 'New Grawe'!$B$1:$BK$10,8,)</f>
        <v>104022</v>
      </c>
      <c r="F9" s="28">
        <f>HLOOKUP(F$2, 'New Grawe'!$B$1:$BK$10,8,)</f>
        <v>62949</v>
      </c>
      <c r="G9" s="28">
        <f>HLOOKUP(G$2, 'New Grawe'!$B$1:$BK$10,8,)</f>
        <v>27502</v>
      </c>
      <c r="H9" s="28" t="e">
        <f>HLOOKUP(H$2, 'New Grawe'!$B$1:$BK$10,8,)</f>
        <v>#N/A</v>
      </c>
      <c r="I9" s="28" t="e">
        <f>HLOOKUP(I$2, 'New Grawe'!$B$1:$BK$10,8,)</f>
        <v>#N/A</v>
      </c>
      <c r="J9" s="28" t="e">
        <f>HLOOKUP(J$2, 'New Grawe'!$B$1:$BK$10,8,)</f>
        <v>#N/A</v>
      </c>
      <c r="K9" s="28" t="e">
        <f>HLOOKUP(K$2, 'New Grawe'!$B$1:$BK$10,8,)</f>
        <v>#N/A</v>
      </c>
      <c r="L9" s="28" t="e">
        <f>HLOOKUP(L$2, 'New Grawe'!$B$1:$BK$10,8,)</f>
        <v>#N/A</v>
      </c>
      <c r="M9" s="28" t="e">
        <f>HLOOKUP(M$2, 'New Grawe'!$B$1:$BK$10,8,)</f>
        <v>#N/A</v>
      </c>
      <c r="N9" s="29" t="e">
        <f>HLOOKUP(N$2, 'New Grawe'!$B$1:$BK$10,8,)</f>
        <v>#N/A</v>
      </c>
      <c r="P9" s="24">
        <v>2026</v>
      </c>
      <c r="Q9" s="28">
        <f>HLOOKUP(Q$2, 'New WICHE'!$B$1:$BK$10,8,)</f>
        <v>53920</v>
      </c>
      <c r="R9" s="28">
        <f>HLOOKUP(R$2, 'New WICHE'!$B$1:$BK$10,8,)</f>
        <v>203500</v>
      </c>
      <c r="S9" s="28">
        <f>HLOOKUP(S$2, 'New WICHE'!$B$1:$BK$10,8,)</f>
        <v>126890</v>
      </c>
      <c r="T9" s="28">
        <f>HLOOKUP(T$2, 'New WICHE'!$B$1:$BK$10,8,)</f>
        <v>76190</v>
      </c>
      <c r="U9" s="28">
        <f>HLOOKUP(U$2, 'New WICHE'!$B$1:$BK$10,8,)</f>
        <v>32670</v>
      </c>
      <c r="V9" s="28" t="e">
        <f>HLOOKUP(V$2, 'New WICHE'!$B$1:$BK$10,8,)</f>
        <v>#N/A</v>
      </c>
      <c r="W9" s="28" t="e">
        <f>HLOOKUP(W$2, 'New WICHE'!$B$1:$BK$10,8,)</f>
        <v>#N/A</v>
      </c>
      <c r="X9" s="28" t="e">
        <f>HLOOKUP(X$2, 'New WICHE'!$B$1:$BK$10,8,)</f>
        <v>#N/A</v>
      </c>
      <c r="Y9" s="28" t="e">
        <f>HLOOKUP(Y$2, 'New WICHE'!$B$1:$BK$10,8,)</f>
        <v>#N/A</v>
      </c>
      <c r="Z9" s="28" t="e">
        <f>HLOOKUP(Z$2, 'New WICHE'!$B$1:$BK$10,8,)</f>
        <v>#N/A</v>
      </c>
      <c r="AA9" s="28" t="e">
        <f>HLOOKUP(AA$2, 'New WICHE'!$B$1:$BK$10,8,)</f>
        <v>#N/A</v>
      </c>
      <c r="AB9" s="29" t="e">
        <f>HLOOKUP(AB$2, 'New WICHE'!$B$1:$BK$10,8,)</f>
        <v>#N/A</v>
      </c>
    </row>
    <row r="10" spans="2:28">
      <c r="B10" s="24">
        <v>2027</v>
      </c>
      <c r="C10" s="28">
        <f>HLOOKUP(C$2, 'New Grawe'!$B$1:$BK$10,9,)</f>
        <v>43529</v>
      </c>
      <c r="D10" s="28">
        <f>HLOOKUP(D$2, 'New Grawe'!$B$1:$BK$10,9,)</f>
        <v>191880</v>
      </c>
      <c r="E10" s="28">
        <f>HLOOKUP(E$2, 'New Grawe'!$B$1:$BK$10,9,)</f>
        <v>101502</v>
      </c>
      <c r="F10" s="28">
        <f>HLOOKUP(F$2, 'New Grawe'!$B$1:$BK$10,9,)</f>
        <v>59628</v>
      </c>
      <c r="G10" s="28">
        <f>HLOOKUP(G$2, 'New Grawe'!$B$1:$BK$10,9,)</f>
        <v>25793.5</v>
      </c>
      <c r="H10" s="28" t="e">
        <f>HLOOKUP(H$2, 'New Grawe'!$B$1:$BK$10,9,)</f>
        <v>#N/A</v>
      </c>
      <c r="I10" s="28" t="e">
        <f>HLOOKUP(I$2, 'New Grawe'!$B$1:$BK$10,9,)</f>
        <v>#N/A</v>
      </c>
      <c r="J10" s="28" t="e">
        <f>HLOOKUP(J$2, 'New Grawe'!$B$1:$BK$10,9,)</f>
        <v>#N/A</v>
      </c>
      <c r="K10" s="28" t="e">
        <f>HLOOKUP(K$2, 'New Grawe'!$B$1:$BK$10,9,)</f>
        <v>#N/A</v>
      </c>
      <c r="L10" s="28" t="e">
        <f>HLOOKUP(L$2, 'New Grawe'!$B$1:$BK$10,9,)</f>
        <v>#N/A</v>
      </c>
      <c r="M10" s="28" t="e">
        <f>HLOOKUP(M$2, 'New Grawe'!$B$1:$BK$10,9,)</f>
        <v>#N/A</v>
      </c>
      <c r="N10" s="29" t="e">
        <f>HLOOKUP(N$2, 'New Grawe'!$B$1:$BK$10,9,)</f>
        <v>#N/A</v>
      </c>
      <c r="P10" s="24">
        <v>2027</v>
      </c>
      <c r="Q10" s="28">
        <f>HLOOKUP(Q$2, 'New WICHE'!$B$1:$BK$10,9,)</f>
        <v>52790</v>
      </c>
      <c r="R10" s="28">
        <f>HLOOKUP(R$2, 'New WICHE'!$B$1:$BK$10,9,)</f>
        <v>198230</v>
      </c>
      <c r="S10" s="28">
        <f>HLOOKUP(S$2, 'New WICHE'!$B$1:$BK$10,9,)</f>
        <v>124370</v>
      </c>
      <c r="T10" s="28">
        <f>HLOOKUP(T$2, 'New WICHE'!$B$1:$BK$10,9,)</f>
        <v>73660</v>
      </c>
      <c r="U10" s="28">
        <f>HLOOKUP(U$2, 'New WICHE'!$B$1:$BK$10,9,)</f>
        <v>31360</v>
      </c>
      <c r="V10" s="28" t="e">
        <f>HLOOKUP(V$2, 'New WICHE'!$B$1:$BK$10,9,)</f>
        <v>#N/A</v>
      </c>
      <c r="W10" s="28" t="e">
        <f>HLOOKUP(W$2, 'New WICHE'!$B$1:$BK$10,9,)</f>
        <v>#N/A</v>
      </c>
      <c r="X10" s="28" t="e">
        <f>HLOOKUP(X$2, 'New WICHE'!$B$1:$BK$10,9,)</f>
        <v>#N/A</v>
      </c>
      <c r="Y10" s="28" t="e">
        <f>HLOOKUP(Y$2, 'New WICHE'!$B$1:$BK$10,9,)</f>
        <v>#N/A</v>
      </c>
      <c r="Z10" s="28" t="e">
        <f>HLOOKUP(Z$2, 'New WICHE'!$B$1:$BK$10,9,)</f>
        <v>#N/A</v>
      </c>
      <c r="AA10" s="28" t="e">
        <f>HLOOKUP(AA$2, 'New WICHE'!$B$1:$BK$10,9,)</f>
        <v>#N/A</v>
      </c>
      <c r="AB10" s="29" t="e">
        <f>HLOOKUP(AB$2, 'New WICHE'!$B$1:$BK$10,9,)</f>
        <v>#N/A</v>
      </c>
    </row>
    <row r="11" spans="2:28" ht="15.75" thickBot="1">
      <c r="B11" s="30">
        <v>2028</v>
      </c>
      <c r="C11" s="31">
        <f>HLOOKUP(C$2, 'New Grawe'!$B$1:$BK$10,10,)</f>
        <v>42546</v>
      </c>
      <c r="D11" s="31">
        <f>HLOOKUP(D$2, 'New Grawe'!$B$1:$BK$10,10,)</f>
        <v>186026</v>
      </c>
      <c r="E11" s="31">
        <f>HLOOKUP(E$2, 'New Grawe'!$B$1:$BK$10,10,)</f>
        <v>95841</v>
      </c>
      <c r="F11" s="31">
        <f>HLOOKUP(F$2, 'New Grawe'!$B$1:$BK$10,10,)</f>
        <v>55676</v>
      </c>
      <c r="G11" s="31">
        <f>HLOOKUP(G$2, 'New Grawe'!$B$1:$BK$10,10,)</f>
        <v>26092</v>
      </c>
      <c r="H11" s="31" t="e">
        <f>HLOOKUP(H$2, 'New Grawe'!$B$1:$BK$10,10,)</f>
        <v>#N/A</v>
      </c>
      <c r="I11" s="31" t="e">
        <f>HLOOKUP(I$2, 'New Grawe'!$B$1:$BK$10,10,)</f>
        <v>#N/A</v>
      </c>
      <c r="J11" s="31" t="e">
        <f>HLOOKUP(J$2, 'New Grawe'!$B$1:$BK$10,10,)</f>
        <v>#N/A</v>
      </c>
      <c r="K11" s="31" t="e">
        <f>HLOOKUP(K$2, 'New Grawe'!$B$1:$BK$10,10,)</f>
        <v>#N/A</v>
      </c>
      <c r="L11" s="31" t="e">
        <f>HLOOKUP(L$2, 'New Grawe'!$B$1:$BK$10,10,)</f>
        <v>#N/A</v>
      </c>
      <c r="M11" s="31" t="e">
        <f>HLOOKUP(M$2, 'New Grawe'!$B$1:$BK$10,10,)</f>
        <v>#N/A</v>
      </c>
      <c r="N11" s="32" t="e">
        <f>HLOOKUP(N$2, 'New Grawe'!$B$1:$BK$10,10,)</f>
        <v>#N/A</v>
      </c>
      <c r="P11" s="30">
        <v>2028</v>
      </c>
      <c r="Q11" s="31">
        <f>HLOOKUP(Q$2, 'New WICHE'!$B$1:$BK$10,10,)</f>
        <v>50800</v>
      </c>
      <c r="R11" s="31">
        <f>HLOOKUP(R$2, 'New WICHE'!$B$1:$BK$10,10,)</f>
        <v>194540</v>
      </c>
      <c r="S11" s="31">
        <f>HLOOKUP(S$2, 'New WICHE'!$B$1:$BK$10,10,)</f>
        <v>119920</v>
      </c>
      <c r="T11" s="31">
        <f>HLOOKUP(T$2, 'New WICHE'!$B$1:$BK$10,10,)</f>
        <v>73020</v>
      </c>
      <c r="U11" s="31">
        <f>HLOOKUP(U$2, 'New WICHE'!$B$1:$BK$10,10,)</f>
        <v>29310</v>
      </c>
      <c r="V11" s="31" t="e">
        <f>HLOOKUP(V$2, 'New WICHE'!$B$1:$BK$10,10,)</f>
        <v>#N/A</v>
      </c>
      <c r="W11" s="31" t="e">
        <f>HLOOKUP(W$2, 'New WICHE'!$B$1:$BK$10,10,)</f>
        <v>#N/A</v>
      </c>
      <c r="X11" s="31" t="e">
        <f>HLOOKUP(X$2, 'New WICHE'!$B$1:$BK$10,10,)</f>
        <v>#N/A</v>
      </c>
      <c r="Y11" s="31" t="e">
        <f>HLOOKUP(Y$2, 'New WICHE'!$B$1:$BK$10,10,)</f>
        <v>#N/A</v>
      </c>
      <c r="Z11" s="31" t="e">
        <f>HLOOKUP(Z$2, 'New WICHE'!$B$1:$BK$10,10,)</f>
        <v>#N/A</v>
      </c>
      <c r="AA11" s="31" t="e">
        <f>HLOOKUP(AA$2, 'New WICHE'!$B$1:$BK$10,10,)</f>
        <v>#N/A</v>
      </c>
      <c r="AB11" s="32" t="e">
        <f>HLOOKUP(AB$2, 'New WICHE'!$B$1:$BK$10,10,)</f>
        <v>#N/A</v>
      </c>
    </row>
    <row r="15" spans="2:28" ht="15.75" thickBot="1"/>
    <row r="16" spans="2:28">
      <c r="B16" s="79" t="s">
        <v>46</v>
      </c>
      <c r="C16" s="80"/>
      <c r="D16" s="80"/>
      <c r="E16" s="80"/>
      <c r="F16" s="80"/>
      <c r="G16" s="80"/>
      <c r="H16" s="80"/>
      <c r="I16" s="80"/>
      <c r="J16" s="80"/>
      <c r="K16" s="80"/>
      <c r="L16" s="80"/>
      <c r="M16" s="80"/>
      <c r="N16" s="81"/>
      <c r="P16" s="79" t="s">
        <v>47</v>
      </c>
      <c r="Q16" s="80"/>
      <c r="R16" s="80"/>
      <c r="S16" s="80"/>
      <c r="T16" s="80"/>
      <c r="U16" s="80"/>
      <c r="V16" s="80"/>
      <c r="W16" s="80"/>
      <c r="X16" s="80"/>
      <c r="Y16" s="80"/>
      <c r="Z16" s="80"/>
      <c r="AA16" s="80"/>
      <c r="AB16" s="81"/>
    </row>
    <row r="17" spans="2:29">
      <c r="B17" s="24"/>
      <c r="C17" s="25" t="str">
        <f>C2</f>
        <v>AL</v>
      </c>
      <c r="D17" s="26" t="str">
        <f>VLOOKUP($C$2, 'States + Continguous'!$A$2:$M$52, 2,)</f>
        <v>FL</v>
      </c>
      <c r="E17" s="26" t="str">
        <f>VLOOKUP($C$2, 'States + Continguous'!$A$2:$M$52, 3,)</f>
        <v>GA</v>
      </c>
      <c r="F17" s="26" t="str">
        <f>VLOOKUP($C$2, 'States + Continguous'!$A$2:$M$52, 4,)</f>
        <v>TN</v>
      </c>
      <c r="G17" s="26" t="str">
        <f>VLOOKUP($C$2, 'States + Continguous'!$A$2:$M$52, 5,)</f>
        <v>MS</v>
      </c>
      <c r="H17" s="26">
        <f>VLOOKUP($C$2, 'States + Continguous'!$A$2:$M$52, 6,)</f>
        <v>0</v>
      </c>
      <c r="I17" s="26">
        <f>VLOOKUP($C$2, 'States + Continguous'!$A$2:$M$52, 7,)</f>
        <v>0</v>
      </c>
      <c r="J17" s="26">
        <f>VLOOKUP($C$2, 'States + Continguous'!$A$2:$M$52, 8,)</f>
        <v>0</v>
      </c>
      <c r="K17" s="26">
        <f>VLOOKUP($C$2, 'States + Continguous'!$A$2:$M$52, 9,)</f>
        <v>0</v>
      </c>
      <c r="L17" s="26">
        <f>VLOOKUP($C$2, 'States + Continguous'!$A$2:$M$52, 10,)</f>
        <v>0</v>
      </c>
      <c r="M17" s="26">
        <f>VLOOKUP($C$2, 'States + Continguous'!$A$2:$M$52, 11,)</f>
        <v>0</v>
      </c>
      <c r="N17" s="27">
        <f>VLOOKUP($C$2, 'States + Continguous'!$A$2:$M$52, 12,)</f>
        <v>0</v>
      </c>
      <c r="P17" s="24"/>
      <c r="Q17" s="25" t="str">
        <f>Q2</f>
        <v>AL</v>
      </c>
      <c r="R17" s="26" t="str">
        <f>VLOOKUP($C$2, 'States + Continguous'!$A$2:$M$52, 2,)</f>
        <v>FL</v>
      </c>
      <c r="S17" s="26" t="str">
        <f>VLOOKUP($C$2, 'States + Continguous'!$A$2:$M$52, 3,)</f>
        <v>GA</v>
      </c>
      <c r="T17" s="26" t="str">
        <f>VLOOKUP($C$2, 'States + Continguous'!$A$2:$M$52, 4,)</f>
        <v>TN</v>
      </c>
      <c r="U17" s="26" t="str">
        <f>VLOOKUP($C$2, 'States + Continguous'!$A$2:$M$52, 5,)</f>
        <v>MS</v>
      </c>
      <c r="V17" s="26">
        <f>VLOOKUP($C$2, 'States + Continguous'!$A$2:$M$52, 6,)</f>
        <v>0</v>
      </c>
      <c r="W17" s="26">
        <f>VLOOKUP($C$2, 'States + Continguous'!$A$2:$M$52, 7,)</f>
        <v>0</v>
      </c>
      <c r="X17" s="26">
        <f>VLOOKUP($C$2, 'States + Continguous'!$A$2:$M$52, 8,)</f>
        <v>0</v>
      </c>
      <c r="Y17" s="26">
        <f>VLOOKUP($C$2, 'States + Continguous'!$A$2:$M$52, 9,)</f>
        <v>0</v>
      </c>
      <c r="Z17" s="26">
        <f>VLOOKUP($C$2, 'States + Continguous'!$A$2:$M$52, 10,)</f>
        <v>0</v>
      </c>
      <c r="AA17" s="26">
        <f>VLOOKUP($C$2, 'States + Continguous'!$A$2:$M$52, 11,)</f>
        <v>0</v>
      </c>
      <c r="AB17" s="27">
        <f>VLOOKUP($C$2, 'States + Continguous'!$A$2:$M$52, 12,)</f>
        <v>0</v>
      </c>
    </row>
    <row r="18" spans="2:29">
      <c r="B18" s="24">
        <v>2020</v>
      </c>
      <c r="C18" s="28">
        <f>IFERROR(C3*'State comparison'!$B$3+'Contiguous State Helper Tables'!Q3*'State comparison'!$B$4, 0)</f>
        <v>49437.5</v>
      </c>
      <c r="D18" s="28">
        <f>IFERROR(D3*'State comparison'!$B$3+'Contiguous State Helper Tables'!R3*'State comparison'!$B$4, 0)</f>
        <v>180046</v>
      </c>
      <c r="E18" s="28">
        <f>IFERROR(E3*'State comparison'!$B$3+'Contiguous State Helper Tables'!S3*'State comparison'!$B$4, 0)</f>
        <v>115422</v>
      </c>
      <c r="F18" s="28">
        <f>IFERROR(F3*'State comparison'!$B$3+'Contiguous State Helper Tables'!T3*'State comparison'!$B$4, 0)</f>
        <v>64683</v>
      </c>
      <c r="G18" s="28">
        <f>IFERROR(G3*'State comparison'!$B$3+'Contiguous State Helper Tables'!U3*'State comparison'!$B$4, 0)</f>
        <v>28715.5</v>
      </c>
      <c r="H18" s="28">
        <f>IFERROR(H3*'State comparison'!$B$3+'Contiguous State Helper Tables'!V3*'State comparison'!$B$4, 0)</f>
        <v>0</v>
      </c>
      <c r="I18" s="28">
        <f>IFERROR(I3*'State comparison'!$B$3+'Contiguous State Helper Tables'!W3*'State comparison'!$B$4, 0)</f>
        <v>0</v>
      </c>
      <c r="J18" s="28">
        <f>IFERROR(J3*'State comparison'!$B$3+'Contiguous State Helper Tables'!X3*'State comparison'!$B$4, 0)</f>
        <v>0</v>
      </c>
      <c r="K18" s="28">
        <f>IFERROR(K3*'State comparison'!$B$3+'Contiguous State Helper Tables'!Y3*'State comparison'!$B$4, 0)</f>
        <v>0</v>
      </c>
      <c r="L18" s="28">
        <f>IFERROR(L3*'State comparison'!$B$3+'Contiguous State Helper Tables'!Z3*'State comparison'!$B$4, 0)</f>
        <v>0</v>
      </c>
      <c r="M18" s="28">
        <f>IFERROR(M3*'State comparison'!$B$3+'Contiguous State Helper Tables'!AA3*'State comparison'!$B$4, 0)</f>
        <v>0</v>
      </c>
      <c r="N18" s="29">
        <f>IFERROR(N3*'State comparison'!$B$3+'Contiguous State Helper Tables'!AB3*'State comparison'!$B$4, 0)</f>
        <v>0</v>
      </c>
      <c r="P18" s="24">
        <v>2020</v>
      </c>
      <c r="Q18" s="33">
        <v>100</v>
      </c>
      <c r="R18" s="33">
        <v>100</v>
      </c>
      <c r="S18" s="33">
        <v>100</v>
      </c>
      <c r="T18" s="33">
        <v>100</v>
      </c>
      <c r="U18" s="33">
        <v>100</v>
      </c>
      <c r="V18" s="33">
        <v>100</v>
      </c>
      <c r="W18" s="33">
        <v>100</v>
      </c>
      <c r="X18" s="33">
        <v>100</v>
      </c>
      <c r="Y18" s="33">
        <v>100</v>
      </c>
      <c r="Z18" s="33">
        <v>100</v>
      </c>
      <c r="AA18" s="33">
        <v>100</v>
      </c>
      <c r="AB18" s="34">
        <v>100</v>
      </c>
    </row>
    <row r="19" spans="2:29">
      <c r="B19" s="24">
        <v>2021</v>
      </c>
      <c r="C19" s="28">
        <f>IFERROR(C4*'State comparison'!$B$3+'Contiguous State Helper Tables'!Q4*'State comparison'!$B$4, 0)</f>
        <v>47909</v>
      </c>
      <c r="D19" s="28">
        <f>IFERROR(D4*'State comparison'!$B$3+'Contiguous State Helper Tables'!R4*'State comparison'!$B$4, 0)</f>
        <v>183528</v>
      </c>
      <c r="E19" s="28">
        <f>IFERROR(E4*'State comparison'!$B$3+'Contiguous State Helper Tables'!S4*'State comparison'!$B$4, 0)</f>
        <v>116603.5</v>
      </c>
      <c r="F19" s="28">
        <f>IFERROR(F4*'State comparison'!$B$3+'Contiguous State Helper Tables'!T4*'State comparison'!$B$4, 0)</f>
        <v>66282.5</v>
      </c>
      <c r="G19" s="28">
        <f>IFERROR(G4*'State comparison'!$B$3+'Contiguous State Helper Tables'!U4*'State comparison'!$B$4, 0)</f>
        <v>28840.5</v>
      </c>
      <c r="H19" s="28">
        <f>IFERROR(H4*'State comparison'!$B$3+'Contiguous State Helper Tables'!V4*'State comparison'!$B$4, 0)</f>
        <v>0</v>
      </c>
      <c r="I19" s="28">
        <f>IFERROR(I4*'State comparison'!$B$3+'Contiguous State Helper Tables'!W4*'State comparison'!$B$4, 0)</f>
        <v>0</v>
      </c>
      <c r="J19" s="28">
        <f>IFERROR(J4*'State comparison'!$B$3+'Contiguous State Helper Tables'!X4*'State comparison'!$B$4, 0)</f>
        <v>0</v>
      </c>
      <c r="K19" s="28">
        <f>IFERROR(K4*'State comparison'!$B$3+'Contiguous State Helper Tables'!Y4*'State comparison'!$B$4, 0)</f>
        <v>0</v>
      </c>
      <c r="L19" s="28">
        <f>IFERROR(L4*'State comparison'!$B$3+'Contiguous State Helper Tables'!Z4*'State comparison'!$B$4, 0)</f>
        <v>0</v>
      </c>
      <c r="M19" s="28">
        <f>IFERROR(M4*'State comparison'!$B$3+'Contiguous State Helper Tables'!AA4*'State comparison'!$B$4, 0)</f>
        <v>0</v>
      </c>
      <c r="N19" s="29">
        <f>IFERROR(N4*'State comparison'!$B$3+'Contiguous State Helper Tables'!AB4*'State comparison'!$B$4, 0)</f>
        <v>0</v>
      </c>
      <c r="P19" s="24">
        <v>2021</v>
      </c>
      <c r="Q19" s="33">
        <f>IFERROR(100*(C19/C$18),0)</f>
        <v>96.908217446270541</v>
      </c>
      <c r="R19" s="33">
        <f t="shared" ref="R19:AB26" si="0">IFERROR(100*(D19/D$18),0)</f>
        <v>101.93395021272342</v>
      </c>
      <c r="S19" s="33">
        <f t="shared" si="0"/>
        <v>101.02363500892378</v>
      </c>
      <c r="T19" s="33">
        <f t="shared" si="0"/>
        <v>102.4728290277198</v>
      </c>
      <c r="U19" s="33">
        <f t="shared" si="0"/>
        <v>100.43530497466524</v>
      </c>
      <c r="V19" s="33">
        <f t="shared" si="0"/>
        <v>0</v>
      </c>
      <c r="W19" s="33">
        <f t="shared" si="0"/>
        <v>0</v>
      </c>
      <c r="X19" s="33">
        <f t="shared" si="0"/>
        <v>0</v>
      </c>
      <c r="Y19" s="33">
        <f t="shared" si="0"/>
        <v>0</v>
      </c>
      <c r="Z19" s="33">
        <f t="shared" si="0"/>
        <v>0</v>
      </c>
      <c r="AA19" s="33">
        <f t="shared" si="0"/>
        <v>0</v>
      </c>
      <c r="AB19" s="34">
        <f t="shared" si="0"/>
        <v>0</v>
      </c>
    </row>
    <row r="20" spans="2:29">
      <c r="B20" s="24">
        <v>2022</v>
      </c>
      <c r="C20" s="28">
        <f>IFERROR(C5*'State comparison'!$B$3+'Contiguous State Helper Tables'!Q5*'State comparison'!$B$4, 0)</f>
        <v>46938</v>
      </c>
      <c r="D20" s="28">
        <f>IFERROR(D5*'State comparison'!$B$3+'Contiguous State Helper Tables'!R5*'State comparison'!$B$4, 0)</f>
        <v>186250.5</v>
      </c>
      <c r="E20" s="28">
        <f>IFERROR(E5*'State comparison'!$B$3+'Contiguous State Helper Tables'!S5*'State comparison'!$B$4, 0)</f>
        <v>111965</v>
      </c>
      <c r="F20" s="28">
        <f>IFERROR(F5*'State comparison'!$B$3+'Contiguous State Helper Tables'!T5*'State comparison'!$B$4, 0)</f>
        <v>66129.75</v>
      </c>
      <c r="G20" s="28">
        <f>IFERROR(G5*'State comparison'!$B$3+'Contiguous State Helper Tables'!U5*'State comparison'!$B$4, 0)</f>
        <v>29411.25</v>
      </c>
      <c r="H20" s="28">
        <f>IFERROR(H5*'State comparison'!$B$3+'Contiguous State Helper Tables'!V5*'State comparison'!$B$4, 0)</f>
        <v>0</v>
      </c>
      <c r="I20" s="28">
        <f>IFERROR(I5*'State comparison'!$B$3+'Contiguous State Helper Tables'!W5*'State comparison'!$B$4, 0)</f>
        <v>0</v>
      </c>
      <c r="J20" s="28">
        <f>IFERROR(J5*'State comparison'!$B$3+'Contiguous State Helper Tables'!X5*'State comparison'!$B$4, 0)</f>
        <v>0</v>
      </c>
      <c r="K20" s="28">
        <f>IFERROR(K5*'State comparison'!$B$3+'Contiguous State Helper Tables'!Y5*'State comparison'!$B$4, 0)</f>
        <v>0</v>
      </c>
      <c r="L20" s="28">
        <f>IFERROR(L5*'State comparison'!$B$3+'Contiguous State Helper Tables'!Z5*'State comparison'!$B$4, 0)</f>
        <v>0</v>
      </c>
      <c r="M20" s="28">
        <f>IFERROR(M5*'State comparison'!$B$3+'Contiguous State Helper Tables'!AA5*'State comparison'!$B$4, 0)</f>
        <v>0</v>
      </c>
      <c r="N20" s="29">
        <f>IFERROR(N5*'State comparison'!$B$3+'Contiguous State Helper Tables'!AB5*'State comparison'!$B$4, 0)</f>
        <v>0</v>
      </c>
      <c r="P20" s="24">
        <v>2022</v>
      </c>
      <c r="Q20" s="33">
        <f t="shared" ref="Q20:Q26" si="1">IFERROR(100*(C20/C$18),0)</f>
        <v>94.944121365360303</v>
      </c>
      <c r="R20" s="33">
        <f t="shared" si="0"/>
        <v>103.44606378369971</v>
      </c>
      <c r="S20" s="33">
        <f t="shared" si="0"/>
        <v>97.004903744520107</v>
      </c>
      <c r="T20" s="33">
        <f t="shared" si="0"/>
        <v>102.23667733407542</v>
      </c>
      <c r="U20" s="33">
        <f t="shared" si="0"/>
        <v>102.42290748898679</v>
      </c>
      <c r="V20" s="33">
        <f t="shared" si="0"/>
        <v>0</v>
      </c>
      <c r="W20" s="33">
        <f t="shared" si="0"/>
        <v>0</v>
      </c>
      <c r="X20" s="33">
        <f t="shared" si="0"/>
        <v>0</v>
      </c>
      <c r="Y20" s="33">
        <f t="shared" si="0"/>
        <v>0</v>
      </c>
      <c r="Z20" s="33">
        <f t="shared" si="0"/>
        <v>0</v>
      </c>
      <c r="AA20" s="33">
        <f t="shared" si="0"/>
        <v>0</v>
      </c>
      <c r="AB20" s="34">
        <f t="shared" si="0"/>
        <v>0</v>
      </c>
    </row>
    <row r="21" spans="2:29">
      <c r="B21" s="24">
        <v>2023</v>
      </c>
      <c r="C21" s="28">
        <f>IFERROR(C6*'State comparison'!$B$3+'Contiguous State Helper Tables'!Q6*'State comparison'!$B$4, 0)</f>
        <v>48836</v>
      </c>
      <c r="D21" s="28">
        <f>IFERROR(D6*'State comparison'!$B$3+'Contiguous State Helper Tables'!R6*'State comparison'!$B$4, 0)</f>
        <v>189579.5</v>
      </c>
      <c r="E21" s="28">
        <f>IFERROR(E6*'State comparison'!$B$3+'Contiguous State Helper Tables'!S6*'State comparison'!$B$4, 0)</f>
        <v>112302</v>
      </c>
      <c r="F21" s="28">
        <f>IFERROR(F6*'State comparison'!$B$3+'Contiguous State Helper Tables'!T6*'State comparison'!$B$4, 0)</f>
        <v>67219.5</v>
      </c>
      <c r="G21" s="28">
        <f>IFERROR(G6*'State comparison'!$B$3+'Contiguous State Helper Tables'!U6*'State comparison'!$B$4, 0)</f>
        <v>28700.25</v>
      </c>
      <c r="H21" s="28">
        <f>IFERROR(H6*'State comparison'!$B$3+'Contiguous State Helper Tables'!V6*'State comparison'!$B$4, 0)</f>
        <v>0</v>
      </c>
      <c r="I21" s="28">
        <f>IFERROR(I6*'State comparison'!$B$3+'Contiguous State Helper Tables'!W6*'State comparison'!$B$4, 0)</f>
        <v>0</v>
      </c>
      <c r="J21" s="28">
        <f>IFERROR(J6*'State comparison'!$B$3+'Contiguous State Helper Tables'!X6*'State comparison'!$B$4, 0)</f>
        <v>0</v>
      </c>
      <c r="K21" s="28">
        <f>IFERROR(K6*'State comparison'!$B$3+'Contiguous State Helper Tables'!Y6*'State comparison'!$B$4, 0)</f>
        <v>0</v>
      </c>
      <c r="L21" s="28">
        <f>IFERROR(L6*'State comparison'!$B$3+'Contiguous State Helper Tables'!Z6*'State comparison'!$B$4, 0)</f>
        <v>0</v>
      </c>
      <c r="M21" s="28">
        <f>IFERROR(M6*'State comparison'!$B$3+'Contiguous State Helper Tables'!AA6*'State comparison'!$B$4, 0)</f>
        <v>0</v>
      </c>
      <c r="N21" s="29">
        <f>IFERROR(N6*'State comparison'!$B$3+'Contiguous State Helper Tables'!AB6*'State comparison'!$B$4, 0)</f>
        <v>0</v>
      </c>
      <c r="P21" s="24">
        <v>2023</v>
      </c>
      <c r="Q21" s="33">
        <f t="shared" si="1"/>
        <v>98.783312262958276</v>
      </c>
      <c r="R21" s="33">
        <f t="shared" si="0"/>
        <v>105.29503571309556</v>
      </c>
      <c r="S21" s="33">
        <f t="shared" si="0"/>
        <v>97.296875812236834</v>
      </c>
      <c r="T21" s="33">
        <f t="shared" si="0"/>
        <v>103.92143221557441</v>
      </c>
      <c r="U21" s="33">
        <f t="shared" si="0"/>
        <v>99.946892793090839</v>
      </c>
      <c r="V21" s="33">
        <f t="shared" si="0"/>
        <v>0</v>
      </c>
      <c r="W21" s="33">
        <f t="shared" si="0"/>
        <v>0</v>
      </c>
      <c r="X21" s="33">
        <f t="shared" si="0"/>
        <v>0</v>
      </c>
      <c r="Y21" s="33">
        <f t="shared" si="0"/>
        <v>0</v>
      </c>
      <c r="Z21" s="33">
        <f t="shared" si="0"/>
        <v>0</v>
      </c>
      <c r="AA21" s="33">
        <f t="shared" si="0"/>
        <v>0</v>
      </c>
      <c r="AB21" s="34">
        <f t="shared" si="0"/>
        <v>0</v>
      </c>
    </row>
    <row r="22" spans="2:29">
      <c r="B22" s="24">
        <v>2024</v>
      </c>
      <c r="C22" s="28">
        <f>IFERROR(C7*'State comparison'!$B$3+'Contiguous State Helper Tables'!Q7*'State comparison'!$B$4, 0)</f>
        <v>49741</v>
      </c>
      <c r="D22" s="28">
        <f>IFERROR(D7*'State comparison'!$B$3+'Contiguous State Helper Tables'!R7*'State comparison'!$B$4, 0)</f>
        <v>193502</v>
      </c>
      <c r="E22" s="28">
        <f>IFERROR(E7*'State comparison'!$B$3+'Contiguous State Helper Tables'!S7*'State comparison'!$B$4, 0)</f>
        <v>115664.5</v>
      </c>
      <c r="F22" s="28">
        <f>IFERROR(F7*'State comparison'!$B$3+'Contiguous State Helper Tables'!T7*'State comparison'!$B$4, 0)</f>
        <v>67582.5</v>
      </c>
      <c r="G22" s="28">
        <f>IFERROR(G7*'State comparison'!$B$3+'Contiguous State Helper Tables'!U7*'State comparison'!$B$4, 0)</f>
        <v>30048</v>
      </c>
      <c r="H22" s="28">
        <f>IFERROR(H7*'State comparison'!$B$3+'Contiguous State Helper Tables'!V7*'State comparison'!$B$4, 0)</f>
        <v>0</v>
      </c>
      <c r="I22" s="28">
        <f>IFERROR(I7*'State comparison'!$B$3+'Contiguous State Helper Tables'!W7*'State comparison'!$B$4, 0)</f>
        <v>0</v>
      </c>
      <c r="J22" s="28">
        <f>IFERROR(J7*'State comparison'!$B$3+'Contiguous State Helper Tables'!X7*'State comparison'!$B$4, 0)</f>
        <v>0</v>
      </c>
      <c r="K22" s="28">
        <f>IFERROR(K7*'State comparison'!$B$3+'Contiguous State Helper Tables'!Y7*'State comparison'!$B$4, 0)</f>
        <v>0</v>
      </c>
      <c r="L22" s="28">
        <f>IFERROR(L7*'State comparison'!$B$3+'Contiguous State Helper Tables'!Z7*'State comparison'!$B$4, 0)</f>
        <v>0</v>
      </c>
      <c r="M22" s="28">
        <f>IFERROR(M7*'State comparison'!$B$3+'Contiguous State Helper Tables'!AA7*'State comparison'!$B$4, 0)</f>
        <v>0</v>
      </c>
      <c r="N22" s="29">
        <f>IFERROR(N7*'State comparison'!$B$3+'Contiguous State Helper Tables'!AB7*'State comparison'!$B$4, 0)</f>
        <v>0</v>
      </c>
      <c r="P22" s="24">
        <v>2024</v>
      </c>
      <c r="Q22" s="33">
        <f t="shared" si="1"/>
        <v>100.61390644753476</v>
      </c>
      <c r="R22" s="33">
        <f t="shared" si="0"/>
        <v>107.47364562389612</v>
      </c>
      <c r="S22" s="33">
        <f t="shared" si="0"/>
        <v>100.21009859472198</v>
      </c>
      <c r="T22" s="33">
        <f t="shared" si="0"/>
        <v>104.48263067575716</v>
      </c>
      <c r="U22" s="33">
        <f t="shared" si="0"/>
        <v>104.64035102993157</v>
      </c>
      <c r="V22" s="33">
        <f t="shared" si="0"/>
        <v>0</v>
      </c>
      <c r="W22" s="33">
        <f t="shared" si="0"/>
        <v>0</v>
      </c>
      <c r="X22" s="33">
        <f t="shared" si="0"/>
        <v>0</v>
      </c>
      <c r="Y22" s="33">
        <f t="shared" si="0"/>
        <v>0</v>
      </c>
      <c r="Z22" s="33">
        <f t="shared" si="0"/>
        <v>0</v>
      </c>
      <c r="AA22" s="33">
        <f t="shared" si="0"/>
        <v>0</v>
      </c>
      <c r="AB22" s="34">
        <f t="shared" si="0"/>
        <v>0</v>
      </c>
    </row>
    <row r="23" spans="2:29">
      <c r="B23" s="24">
        <v>2025</v>
      </c>
      <c r="C23" s="28">
        <f>IFERROR(C8*'State comparison'!$B$3+'Contiguous State Helper Tables'!Q8*'State comparison'!$B$4, 0)</f>
        <v>49931</v>
      </c>
      <c r="D23" s="28">
        <f>IFERROR(D8*'State comparison'!$B$3+'Contiguous State Helper Tables'!R8*'State comparison'!$B$4, 0)</f>
        <v>197706.5</v>
      </c>
      <c r="E23" s="28">
        <f>IFERROR(E8*'State comparison'!$B$3+'Contiguous State Helper Tables'!S8*'State comparison'!$B$4, 0)</f>
        <v>117730.5</v>
      </c>
      <c r="F23" s="28">
        <f>IFERROR(F8*'State comparison'!$B$3+'Contiguous State Helper Tables'!T8*'State comparison'!$B$4, 0)</f>
        <v>69393.5</v>
      </c>
      <c r="G23" s="28">
        <f>IFERROR(G8*'State comparison'!$B$3+'Contiguous State Helper Tables'!U8*'State comparison'!$B$4, 0)</f>
        <v>31635.5</v>
      </c>
      <c r="H23" s="28">
        <f>IFERROR(H8*'State comparison'!$B$3+'Contiguous State Helper Tables'!V8*'State comparison'!$B$4, 0)</f>
        <v>0</v>
      </c>
      <c r="I23" s="28">
        <f>IFERROR(I8*'State comparison'!$B$3+'Contiguous State Helper Tables'!W8*'State comparison'!$B$4, 0)</f>
        <v>0</v>
      </c>
      <c r="J23" s="28">
        <f>IFERROR(J8*'State comparison'!$B$3+'Contiguous State Helper Tables'!X8*'State comparison'!$B$4, 0)</f>
        <v>0</v>
      </c>
      <c r="K23" s="28">
        <f>IFERROR(K8*'State comparison'!$B$3+'Contiguous State Helper Tables'!Y8*'State comparison'!$B$4, 0)</f>
        <v>0</v>
      </c>
      <c r="L23" s="28">
        <f>IFERROR(L8*'State comparison'!$B$3+'Contiguous State Helper Tables'!Z8*'State comparison'!$B$4, 0)</f>
        <v>0</v>
      </c>
      <c r="M23" s="28">
        <f>IFERROR(M8*'State comparison'!$B$3+'Contiguous State Helper Tables'!AA8*'State comparison'!$B$4, 0)</f>
        <v>0</v>
      </c>
      <c r="N23" s="29">
        <f>IFERROR(N8*'State comparison'!$B$3+'Contiguous State Helper Tables'!AB8*'State comparison'!$B$4, 0)</f>
        <v>0</v>
      </c>
      <c r="P23" s="24">
        <v>2025</v>
      </c>
      <c r="Q23" s="33">
        <f t="shared" si="1"/>
        <v>100.99823008849557</v>
      </c>
      <c r="R23" s="33">
        <f t="shared" si="0"/>
        <v>109.80888217455541</v>
      </c>
      <c r="S23" s="33">
        <f t="shared" si="0"/>
        <v>102.00005198315745</v>
      </c>
      <c r="T23" s="33">
        <f t="shared" si="0"/>
        <v>107.28243897159994</v>
      </c>
      <c r="U23" s="33">
        <f t="shared" si="0"/>
        <v>110.16872420818025</v>
      </c>
      <c r="V23" s="33">
        <f t="shared" si="0"/>
        <v>0</v>
      </c>
      <c r="W23" s="33">
        <f t="shared" si="0"/>
        <v>0</v>
      </c>
      <c r="X23" s="33">
        <f t="shared" si="0"/>
        <v>0</v>
      </c>
      <c r="Y23" s="33">
        <f t="shared" si="0"/>
        <v>0</v>
      </c>
      <c r="Z23" s="33">
        <f t="shared" si="0"/>
        <v>0</v>
      </c>
      <c r="AA23" s="33">
        <f t="shared" si="0"/>
        <v>0</v>
      </c>
      <c r="AB23" s="34">
        <f t="shared" si="0"/>
        <v>0</v>
      </c>
    </row>
    <row r="24" spans="2:29">
      <c r="B24" s="24">
        <v>2026</v>
      </c>
      <c r="C24" s="28">
        <f>IFERROR(C9*'State comparison'!$B$3+'Contiguous State Helper Tables'!Q9*'State comparison'!$B$4, 0)</f>
        <v>50490.5</v>
      </c>
      <c r="D24" s="28">
        <f>IFERROR(D9*'State comparison'!$B$3+'Contiguous State Helper Tables'!R9*'State comparison'!$B$4, 0)</f>
        <v>198960</v>
      </c>
      <c r="E24" s="28">
        <f>IFERROR(E9*'State comparison'!$B$3+'Contiguous State Helper Tables'!S9*'State comparison'!$B$4, 0)</f>
        <v>115456</v>
      </c>
      <c r="F24" s="28">
        <f>IFERROR(F9*'State comparison'!$B$3+'Contiguous State Helper Tables'!T9*'State comparison'!$B$4, 0)</f>
        <v>69569.5</v>
      </c>
      <c r="G24" s="28">
        <f>IFERROR(G9*'State comparison'!$B$3+'Contiguous State Helper Tables'!U9*'State comparison'!$B$4, 0)</f>
        <v>30086</v>
      </c>
      <c r="H24" s="28">
        <f>IFERROR(H9*'State comparison'!$B$3+'Contiguous State Helper Tables'!V9*'State comparison'!$B$4, 0)</f>
        <v>0</v>
      </c>
      <c r="I24" s="28">
        <f>IFERROR(I9*'State comparison'!$B$3+'Contiguous State Helper Tables'!W9*'State comparison'!$B$4, 0)</f>
        <v>0</v>
      </c>
      <c r="J24" s="28">
        <f>IFERROR(J9*'State comparison'!$B$3+'Contiguous State Helper Tables'!X9*'State comparison'!$B$4, 0)</f>
        <v>0</v>
      </c>
      <c r="K24" s="28">
        <f>IFERROR(K9*'State comparison'!$B$3+'Contiguous State Helper Tables'!Y9*'State comparison'!$B$4, 0)</f>
        <v>0</v>
      </c>
      <c r="L24" s="28">
        <f>IFERROR(L9*'State comparison'!$B$3+'Contiguous State Helper Tables'!Z9*'State comparison'!$B$4, 0)</f>
        <v>0</v>
      </c>
      <c r="M24" s="28">
        <f>IFERROR(M9*'State comparison'!$B$3+'Contiguous State Helper Tables'!AA9*'State comparison'!$B$4, 0)</f>
        <v>0</v>
      </c>
      <c r="N24" s="29">
        <f>IFERROR(N9*'State comparison'!$B$3+'Contiguous State Helper Tables'!AB9*'State comparison'!$B$4, 0)</f>
        <v>0</v>
      </c>
      <c r="P24" s="24">
        <v>2026</v>
      </c>
      <c r="Q24" s="33">
        <f t="shared" si="1"/>
        <v>102.1299620733249</v>
      </c>
      <c r="R24" s="33">
        <f t="shared" si="0"/>
        <v>110.5050931428635</v>
      </c>
      <c r="S24" s="33">
        <f t="shared" si="0"/>
        <v>100.02945712255895</v>
      </c>
      <c r="T24" s="33">
        <f t="shared" si="0"/>
        <v>107.55453519471887</v>
      </c>
      <c r="U24" s="33">
        <f t="shared" si="0"/>
        <v>104.77268374222982</v>
      </c>
      <c r="V24" s="33">
        <f t="shared" si="0"/>
        <v>0</v>
      </c>
      <c r="W24" s="33">
        <f t="shared" si="0"/>
        <v>0</v>
      </c>
      <c r="X24" s="33">
        <f t="shared" si="0"/>
        <v>0</v>
      </c>
      <c r="Y24" s="33">
        <f t="shared" si="0"/>
        <v>0</v>
      </c>
      <c r="Z24" s="33">
        <f t="shared" si="0"/>
        <v>0</v>
      </c>
      <c r="AA24" s="33">
        <f t="shared" si="0"/>
        <v>0</v>
      </c>
      <c r="AB24" s="34">
        <f t="shared" si="0"/>
        <v>0</v>
      </c>
    </row>
    <row r="25" spans="2:29">
      <c r="B25" s="24">
        <v>2027</v>
      </c>
      <c r="C25" s="28">
        <f>IFERROR(C10*'State comparison'!$B$3+'Contiguous State Helper Tables'!Q10*'State comparison'!$B$4, 0)</f>
        <v>48159.5</v>
      </c>
      <c r="D25" s="28">
        <f>IFERROR(D10*'State comparison'!$B$3+'Contiguous State Helper Tables'!R10*'State comparison'!$B$4, 0)</f>
        <v>195055</v>
      </c>
      <c r="E25" s="28">
        <f>IFERROR(E10*'State comparison'!$B$3+'Contiguous State Helper Tables'!S10*'State comparison'!$B$4, 0)</f>
        <v>112936</v>
      </c>
      <c r="F25" s="28">
        <f>IFERROR(F10*'State comparison'!$B$3+'Contiguous State Helper Tables'!T10*'State comparison'!$B$4, 0)</f>
        <v>66644</v>
      </c>
      <c r="G25" s="28">
        <f>IFERROR(G10*'State comparison'!$B$3+'Contiguous State Helper Tables'!U10*'State comparison'!$B$4, 0)</f>
        <v>28576.75</v>
      </c>
      <c r="H25" s="28">
        <f>IFERROR(H10*'State comparison'!$B$3+'Contiguous State Helper Tables'!V10*'State comparison'!$B$4, 0)</f>
        <v>0</v>
      </c>
      <c r="I25" s="28">
        <f>IFERROR(I10*'State comparison'!$B$3+'Contiguous State Helper Tables'!W10*'State comparison'!$B$4, 0)</f>
        <v>0</v>
      </c>
      <c r="J25" s="28">
        <f>IFERROR(J10*'State comparison'!$B$3+'Contiguous State Helper Tables'!X10*'State comparison'!$B$4, 0)</f>
        <v>0</v>
      </c>
      <c r="K25" s="28">
        <f>IFERROR(K10*'State comparison'!$B$3+'Contiguous State Helper Tables'!Y10*'State comparison'!$B$4, 0)</f>
        <v>0</v>
      </c>
      <c r="L25" s="28">
        <f>IFERROR(L10*'State comparison'!$B$3+'Contiguous State Helper Tables'!Z10*'State comparison'!$B$4, 0)</f>
        <v>0</v>
      </c>
      <c r="M25" s="28">
        <f>IFERROR(M10*'State comparison'!$B$3+'Contiguous State Helper Tables'!AA10*'State comparison'!$B$4, 0)</f>
        <v>0</v>
      </c>
      <c r="N25" s="29">
        <f>IFERROR(N10*'State comparison'!$B$3+'Contiguous State Helper Tables'!AB10*'State comparison'!$B$4, 0)</f>
        <v>0</v>
      </c>
      <c r="P25" s="24">
        <v>2027</v>
      </c>
      <c r="Q25" s="33">
        <f t="shared" si="1"/>
        <v>97.414917825537302</v>
      </c>
      <c r="R25" s="33">
        <f t="shared" si="0"/>
        <v>108.33620297035202</v>
      </c>
      <c r="S25" s="33">
        <f t="shared" si="0"/>
        <v>97.846164509365636</v>
      </c>
      <c r="T25" s="33">
        <f t="shared" si="0"/>
        <v>103.03170848600097</v>
      </c>
      <c r="U25" s="33">
        <f t="shared" si="0"/>
        <v>99.516811478121568</v>
      </c>
      <c r="V25" s="33">
        <f t="shared" si="0"/>
        <v>0</v>
      </c>
      <c r="W25" s="33">
        <f t="shared" si="0"/>
        <v>0</v>
      </c>
      <c r="X25" s="33">
        <f t="shared" si="0"/>
        <v>0</v>
      </c>
      <c r="Y25" s="33">
        <f t="shared" si="0"/>
        <v>0</v>
      </c>
      <c r="Z25" s="33">
        <f t="shared" si="0"/>
        <v>0</v>
      </c>
      <c r="AA25" s="33">
        <f t="shared" si="0"/>
        <v>0</v>
      </c>
      <c r="AB25" s="34">
        <f t="shared" si="0"/>
        <v>0</v>
      </c>
    </row>
    <row r="26" spans="2:29" ht="15.75" thickBot="1">
      <c r="B26" s="30">
        <v>2028</v>
      </c>
      <c r="C26" s="31">
        <f>IFERROR(C11*'State comparison'!$B$3+'Contiguous State Helper Tables'!Q11*'State comparison'!$B$4, 0)</f>
        <v>46673</v>
      </c>
      <c r="D26" s="31">
        <f>IFERROR(D11*'State comparison'!$B$3+'Contiguous State Helper Tables'!R11*'State comparison'!$B$4, 0)</f>
        <v>190283</v>
      </c>
      <c r="E26" s="31">
        <f>IFERROR(E11*'State comparison'!$B$3+'Contiguous State Helper Tables'!S11*'State comparison'!$B$4, 0)</f>
        <v>107880.5</v>
      </c>
      <c r="F26" s="31">
        <f>IFERROR(F11*'State comparison'!$B$3+'Contiguous State Helper Tables'!T11*'State comparison'!$B$4, 0)</f>
        <v>64348</v>
      </c>
      <c r="G26" s="31">
        <f>IFERROR(G11*'State comparison'!$B$3+'Contiguous State Helper Tables'!U11*'State comparison'!$B$4, 0)</f>
        <v>27701</v>
      </c>
      <c r="H26" s="31">
        <f>IFERROR(H11*'State comparison'!$B$3+'Contiguous State Helper Tables'!V11*'State comparison'!$B$4, 0)</f>
        <v>0</v>
      </c>
      <c r="I26" s="31">
        <f>IFERROR(I11*'State comparison'!$B$3+'Contiguous State Helper Tables'!W11*'State comparison'!$B$4, 0)</f>
        <v>0</v>
      </c>
      <c r="J26" s="31">
        <f>IFERROR(J11*'State comparison'!$B$3+'Contiguous State Helper Tables'!X11*'State comparison'!$B$4, 0)</f>
        <v>0</v>
      </c>
      <c r="K26" s="31">
        <f>IFERROR(K11*'State comparison'!$B$3+'Contiguous State Helper Tables'!Y11*'State comparison'!$B$4, 0)</f>
        <v>0</v>
      </c>
      <c r="L26" s="31">
        <f>IFERROR(L11*'State comparison'!$B$3+'Contiguous State Helper Tables'!Z11*'State comparison'!$B$4, 0)</f>
        <v>0</v>
      </c>
      <c r="M26" s="31">
        <f>IFERROR(M11*'State comparison'!$B$3+'Contiguous State Helper Tables'!AA11*'State comparison'!$B$4, 0)</f>
        <v>0</v>
      </c>
      <c r="N26" s="32">
        <f>IFERROR(N11*'State comparison'!$B$3+'Contiguous State Helper Tables'!AB11*'State comparison'!$B$4, 0)</f>
        <v>0</v>
      </c>
      <c r="P26" s="30">
        <v>2028</v>
      </c>
      <c r="Q26" s="35">
        <f t="shared" si="1"/>
        <v>94.408091024020223</v>
      </c>
      <c r="R26" s="35">
        <f t="shared" si="0"/>
        <v>105.68576919231751</v>
      </c>
      <c r="S26" s="35">
        <f t="shared" si="0"/>
        <v>93.466150300635931</v>
      </c>
      <c r="T26" s="35">
        <f t="shared" si="0"/>
        <v>99.482089575313452</v>
      </c>
      <c r="U26" s="35">
        <f t="shared" si="0"/>
        <v>96.467064825616816</v>
      </c>
      <c r="V26" s="35">
        <f t="shared" si="0"/>
        <v>0</v>
      </c>
      <c r="W26" s="35">
        <f t="shared" si="0"/>
        <v>0</v>
      </c>
      <c r="X26" s="35">
        <f t="shared" si="0"/>
        <v>0</v>
      </c>
      <c r="Y26" s="35">
        <f t="shared" si="0"/>
        <v>0</v>
      </c>
      <c r="Z26" s="35">
        <f t="shared" si="0"/>
        <v>0</v>
      </c>
      <c r="AA26" s="35">
        <f t="shared" si="0"/>
        <v>0</v>
      </c>
      <c r="AB26" s="36">
        <f t="shared" si="0"/>
        <v>0</v>
      </c>
    </row>
    <row r="29" spans="2:29" ht="15.75" thickBot="1"/>
    <row r="30" spans="2:29">
      <c r="B30" s="79" t="s">
        <v>48</v>
      </c>
      <c r="C30" s="80"/>
      <c r="D30" s="80"/>
      <c r="E30" s="80"/>
      <c r="F30" s="80"/>
      <c r="G30" s="80"/>
      <c r="H30" s="80"/>
      <c r="I30" s="80"/>
      <c r="J30" s="80"/>
      <c r="K30" s="80"/>
      <c r="L30" s="80"/>
      <c r="M30" s="80"/>
      <c r="N30" s="81"/>
      <c r="Q30" s="79" t="s">
        <v>49</v>
      </c>
      <c r="R30" s="80"/>
      <c r="S30" s="80"/>
      <c r="T30" s="80"/>
      <c r="U30" s="80"/>
      <c r="V30" s="80"/>
      <c r="W30" s="80"/>
      <c r="X30" s="80"/>
      <c r="Y30" s="80"/>
      <c r="Z30" s="80"/>
      <c r="AA30" s="80"/>
      <c r="AB30" s="80"/>
      <c r="AC30" s="81"/>
    </row>
    <row r="31" spans="2:29">
      <c r="B31" s="24"/>
      <c r="C31" s="25" t="str">
        <f t="shared" ref="C31:M31" si="2">D17</f>
        <v>FL</v>
      </c>
      <c r="D31" s="25" t="str">
        <f t="shared" si="2"/>
        <v>GA</v>
      </c>
      <c r="E31" s="25" t="str">
        <f t="shared" si="2"/>
        <v>TN</v>
      </c>
      <c r="F31" s="25" t="str">
        <f t="shared" si="2"/>
        <v>MS</v>
      </c>
      <c r="G31" s="25">
        <f t="shared" si="2"/>
        <v>0</v>
      </c>
      <c r="H31" s="25">
        <f t="shared" si="2"/>
        <v>0</v>
      </c>
      <c r="I31" s="25">
        <f t="shared" si="2"/>
        <v>0</v>
      </c>
      <c r="J31" s="25">
        <f t="shared" si="2"/>
        <v>0</v>
      </c>
      <c r="K31" s="25">
        <f t="shared" si="2"/>
        <v>0</v>
      </c>
      <c r="L31" s="25">
        <f t="shared" si="2"/>
        <v>0</v>
      </c>
      <c r="M31" s="25">
        <f t="shared" si="2"/>
        <v>0</v>
      </c>
      <c r="N31" s="37" t="s">
        <v>40</v>
      </c>
      <c r="Q31" s="24"/>
      <c r="R31" s="25" t="str">
        <f t="shared" ref="R31:AB31" si="3">C31</f>
        <v>FL</v>
      </c>
      <c r="S31" s="25" t="str">
        <f t="shared" si="3"/>
        <v>GA</v>
      </c>
      <c r="T31" s="25" t="str">
        <f t="shared" si="3"/>
        <v>TN</v>
      </c>
      <c r="U31" s="25" t="str">
        <f t="shared" si="3"/>
        <v>MS</v>
      </c>
      <c r="V31" s="25">
        <f t="shared" si="3"/>
        <v>0</v>
      </c>
      <c r="W31" s="25">
        <f t="shared" si="3"/>
        <v>0</v>
      </c>
      <c r="X31" s="25">
        <f t="shared" si="3"/>
        <v>0</v>
      </c>
      <c r="Y31" s="25">
        <f t="shared" si="3"/>
        <v>0</v>
      </c>
      <c r="Z31" s="25">
        <f t="shared" si="3"/>
        <v>0</v>
      </c>
      <c r="AA31" s="25">
        <f t="shared" si="3"/>
        <v>0</v>
      </c>
      <c r="AB31" s="25">
        <f t="shared" si="3"/>
        <v>0</v>
      </c>
      <c r="AC31" s="37" t="s">
        <v>40</v>
      </c>
    </row>
    <row r="32" spans="2:29">
      <c r="B32" s="24">
        <v>2020</v>
      </c>
      <c r="C32" s="25">
        <f t="shared" ref="C32:M32" si="4">D18</f>
        <v>180046</v>
      </c>
      <c r="D32" s="25">
        <f t="shared" si="4"/>
        <v>115422</v>
      </c>
      <c r="E32" s="25">
        <f t="shared" si="4"/>
        <v>64683</v>
      </c>
      <c r="F32" s="25">
        <f t="shared" si="4"/>
        <v>28715.5</v>
      </c>
      <c r="G32" s="25">
        <f t="shared" si="4"/>
        <v>0</v>
      </c>
      <c r="H32" s="25">
        <f t="shared" si="4"/>
        <v>0</v>
      </c>
      <c r="I32" s="25">
        <f t="shared" si="4"/>
        <v>0</v>
      </c>
      <c r="J32" s="25">
        <f t="shared" si="4"/>
        <v>0</v>
      </c>
      <c r="K32" s="25">
        <f t="shared" si="4"/>
        <v>0</v>
      </c>
      <c r="L32" s="25">
        <f t="shared" si="4"/>
        <v>0</v>
      </c>
      <c r="M32" s="25">
        <f t="shared" si="4"/>
        <v>0</v>
      </c>
      <c r="N32" s="37">
        <f t="shared" ref="N32:N40" si="5">SUM(C32:M32)</f>
        <v>388866.5</v>
      </c>
      <c r="Q32" s="24">
        <v>2020</v>
      </c>
      <c r="R32" s="40">
        <f t="shared" ref="R32:R40" si="6">C32/$N32</f>
        <v>0.46300208426285111</v>
      </c>
      <c r="S32" s="40">
        <f t="shared" ref="S32:S40" si="7">D32/$N32</f>
        <v>0.29681651672231985</v>
      </c>
      <c r="T32" s="40">
        <f t="shared" ref="T32:T40" si="8">E32/$N32</f>
        <v>0.16633729056115659</v>
      </c>
      <c r="U32" s="40">
        <f t="shared" ref="U32:U40" si="9">F32/$N32</f>
        <v>7.3844108453672411E-2</v>
      </c>
      <c r="V32" s="40">
        <f t="shared" ref="V32:V40" si="10">G32/$N32</f>
        <v>0</v>
      </c>
      <c r="W32" s="40">
        <f t="shared" ref="W32:W40" si="11">H32/$N32</f>
        <v>0</v>
      </c>
      <c r="X32" s="40">
        <f t="shared" ref="X32:X40" si="12">I32/$N32</f>
        <v>0</v>
      </c>
      <c r="Y32" s="40">
        <f t="shared" ref="Y32:Y40" si="13">J32/$N32</f>
        <v>0</v>
      </c>
      <c r="Z32" s="40">
        <f t="shared" ref="Z32:Z40" si="14">K32/$N32</f>
        <v>0</v>
      </c>
      <c r="AA32" s="40">
        <f t="shared" ref="AA32:AA40" si="15">L32/$N32</f>
        <v>0</v>
      </c>
      <c r="AB32" s="40">
        <f t="shared" ref="AB32:AB40" si="16">AC18</f>
        <v>0</v>
      </c>
      <c r="AC32" s="41">
        <f t="shared" ref="AC32:AC40" si="17">SUM(R32:AB32)</f>
        <v>0.99999999999999989</v>
      </c>
    </row>
    <row r="33" spans="2:29">
      <c r="B33" s="24">
        <v>2021</v>
      </c>
      <c r="C33" s="25">
        <f t="shared" ref="C33:M33" si="18">D19</f>
        <v>183528</v>
      </c>
      <c r="D33" s="25">
        <f t="shared" si="18"/>
        <v>116603.5</v>
      </c>
      <c r="E33" s="25">
        <f t="shared" si="18"/>
        <v>66282.5</v>
      </c>
      <c r="F33" s="25">
        <f t="shared" si="18"/>
        <v>28840.5</v>
      </c>
      <c r="G33" s="25">
        <f t="shared" si="18"/>
        <v>0</v>
      </c>
      <c r="H33" s="25">
        <f t="shared" si="18"/>
        <v>0</v>
      </c>
      <c r="I33" s="25">
        <f t="shared" si="18"/>
        <v>0</v>
      </c>
      <c r="J33" s="25">
        <f t="shared" si="18"/>
        <v>0</v>
      </c>
      <c r="K33" s="25">
        <f t="shared" si="18"/>
        <v>0</v>
      </c>
      <c r="L33" s="25">
        <f t="shared" si="18"/>
        <v>0</v>
      </c>
      <c r="M33" s="25">
        <f t="shared" si="18"/>
        <v>0</v>
      </c>
      <c r="N33" s="37">
        <f t="shared" si="5"/>
        <v>395254.5</v>
      </c>
      <c r="Q33" s="24">
        <v>2021</v>
      </c>
      <c r="R33" s="40">
        <f t="shared" si="6"/>
        <v>0.46432867936987432</v>
      </c>
      <c r="S33" s="40">
        <f t="shared" si="7"/>
        <v>0.29500865897794964</v>
      </c>
      <c r="T33" s="40">
        <f t="shared" si="8"/>
        <v>0.16769575045951407</v>
      </c>
      <c r="U33" s="40">
        <f t="shared" si="9"/>
        <v>7.2966911192661937E-2</v>
      </c>
      <c r="V33" s="40">
        <f t="shared" si="10"/>
        <v>0</v>
      </c>
      <c r="W33" s="40">
        <f t="shared" si="11"/>
        <v>0</v>
      </c>
      <c r="X33" s="40">
        <f t="shared" si="12"/>
        <v>0</v>
      </c>
      <c r="Y33" s="40">
        <f t="shared" si="13"/>
        <v>0</v>
      </c>
      <c r="Z33" s="40">
        <f t="shared" si="14"/>
        <v>0</v>
      </c>
      <c r="AA33" s="40">
        <f t="shared" si="15"/>
        <v>0</v>
      </c>
      <c r="AB33" s="40">
        <f t="shared" si="16"/>
        <v>0</v>
      </c>
      <c r="AC33" s="41">
        <f t="shared" si="17"/>
        <v>0.99999999999999989</v>
      </c>
    </row>
    <row r="34" spans="2:29">
      <c r="B34" s="24">
        <v>2022</v>
      </c>
      <c r="C34" s="25">
        <f t="shared" ref="C34:M34" si="19">D20</f>
        <v>186250.5</v>
      </c>
      <c r="D34" s="25">
        <f t="shared" si="19"/>
        <v>111965</v>
      </c>
      <c r="E34" s="25">
        <f t="shared" si="19"/>
        <v>66129.75</v>
      </c>
      <c r="F34" s="25">
        <f t="shared" si="19"/>
        <v>29411.25</v>
      </c>
      <c r="G34" s="25">
        <f t="shared" si="19"/>
        <v>0</v>
      </c>
      <c r="H34" s="25">
        <f t="shared" si="19"/>
        <v>0</v>
      </c>
      <c r="I34" s="25">
        <f t="shared" si="19"/>
        <v>0</v>
      </c>
      <c r="J34" s="25">
        <f t="shared" si="19"/>
        <v>0</v>
      </c>
      <c r="K34" s="25">
        <f t="shared" si="19"/>
        <v>0</v>
      </c>
      <c r="L34" s="25">
        <f t="shared" si="19"/>
        <v>0</v>
      </c>
      <c r="M34" s="25">
        <f t="shared" si="19"/>
        <v>0</v>
      </c>
      <c r="N34" s="37">
        <f t="shared" si="5"/>
        <v>393756.5</v>
      </c>
      <c r="Q34" s="24">
        <v>2022</v>
      </c>
      <c r="R34" s="40">
        <f t="shared" si="6"/>
        <v>0.47300933444908211</v>
      </c>
      <c r="S34" s="40">
        <f t="shared" si="7"/>
        <v>0.28435086150958777</v>
      </c>
      <c r="T34" s="40">
        <f t="shared" si="8"/>
        <v>0.16794579898998493</v>
      </c>
      <c r="U34" s="40">
        <f t="shared" si="9"/>
        <v>7.4694005051345186E-2</v>
      </c>
      <c r="V34" s="40">
        <f t="shared" si="10"/>
        <v>0</v>
      </c>
      <c r="W34" s="40">
        <f t="shared" si="11"/>
        <v>0</v>
      </c>
      <c r="X34" s="40">
        <f t="shared" si="12"/>
        <v>0</v>
      </c>
      <c r="Y34" s="40">
        <f t="shared" si="13"/>
        <v>0</v>
      </c>
      <c r="Z34" s="40">
        <f t="shared" si="14"/>
        <v>0</v>
      </c>
      <c r="AA34" s="40">
        <f t="shared" si="15"/>
        <v>0</v>
      </c>
      <c r="AB34" s="40">
        <f t="shared" si="16"/>
        <v>0</v>
      </c>
      <c r="AC34" s="41">
        <f t="shared" si="17"/>
        <v>1</v>
      </c>
    </row>
    <row r="35" spans="2:29">
      <c r="B35" s="24">
        <v>2023</v>
      </c>
      <c r="C35" s="25">
        <f t="shared" ref="C35:M35" si="20">D21</f>
        <v>189579.5</v>
      </c>
      <c r="D35" s="25">
        <f t="shared" si="20"/>
        <v>112302</v>
      </c>
      <c r="E35" s="25">
        <f t="shared" si="20"/>
        <v>67219.5</v>
      </c>
      <c r="F35" s="25">
        <f t="shared" si="20"/>
        <v>28700.25</v>
      </c>
      <c r="G35" s="25">
        <f t="shared" si="20"/>
        <v>0</v>
      </c>
      <c r="H35" s="25">
        <f t="shared" si="20"/>
        <v>0</v>
      </c>
      <c r="I35" s="25">
        <f t="shared" si="20"/>
        <v>0</v>
      </c>
      <c r="J35" s="25">
        <f t="shared" si="20"/>
        <v>0</v>
      </c>
      <c r="K35" s="25">
        <f t="shared" si="20"/>
        <v>0</v>
      </c>
      <c r="L35" s="25">
        <f t="shared" si="20"/>
        <v>0</v>
      </c>
      <c r="M35" s="25">
        <f t="shared" si="20"/>
        <v>0</v>
      </c>
      <c r="N35" s="37">
        <f t="shared" si="5"/>
        <v>397801.25</v>
      </c>
      <c r="Q35" s="24">
        <v>2023</v>
      </c>
      <c r="R35" s="40">
        <f t="shared" si="6"/>
        <v>0.47656838685147418</v>
      </c>
      <c r="S35" s="40">
        <f t="shared" si="7"/>
        <v>0.28230680521994339</v>
      </c>
      <c r="T35" s="40">
        <f t="shared" si="8"/>
        <v>0.16897759873806328</v>
      </c>
      <c r="U35" s="40">
        <f t="shared" si="9"/>
        <v>7.2147209190519132E-2</v>
      </c>
      <c r="V35" s="40">
        <f t="shared" si="10"/>
        <v>0</v>
      </c>
      <c r="W35" s="40">
        <f t="shared" si="11"/>
        <v>0</v>
      </c>
      <c r="X35" s="40">
        <f t="shared" si="12"/>
        <v>0</v>
      </c>
      <c r="Y35" s="40">
        <f t="shared" si="13"/>
        <v>0</v>
      </c>
      <c r="Z35" s="40">
        <f t="shared" si="14"/>
        <v>0</v>
      </c>
      <c r="AA35" s="40">
        <f t="shared" si="15"/>
        <v>0</v>
      </c>
      <c r="AB35" s="40">
        <f t="shared" si="16"/>
        <v>0</v>
      </c>
      <c r="AC35" s="41">
        <f t="shared" si="17"/>
        <v>1</v>
      </c>
    </row>
    <row r="36" spans="2:29">
      <c r="B36" s="24">
        <v>2024</v>
      </c>
      <c r="C36" s="25">
        <f t="shared" ref="C36:M36" si="21">D22</f>
        <v>193502</v>
      </c>
      <c r="D36" s="25">
        <f t="shared" si="21"/>
        <v>115664.5</v>
      </c>
      <c r="E36" s="25">
        <f t="shared" si="21"/>
        <v>67582.5</v>
      </c>
      <c r="F36" s="25">
        <f t="shared" si="21"/>
        <v>30048</v>
      </c>
      <c r="G36" s="25">
        <f t="shared" si="21"/>
        <v>0</v>
      </c>
      <c r="H36" s="25">
        <f t="shared" si="21"/>
        <v>0</v>
      </c>
      <c r="I36" s="25">
        <f t="shared" si="21"/>
        <v>0</v>
      </c>
      <c r="J36" s="25">
        <f t="shared" si="21"/>
        <v>0</v>
      </c>
      <c r="K36" s="25">
        <f t="shared" si="21"/>
        <v>0</v>
      </c>
      <c r="L36" s="25">
        <f t="shared" si="21"/>
        <v>0</v>
      </c>
      <c r="M36" s="25">
        <f t="shared" si="21"/>
        <v>0</v>
      </c>
      <c r="N36" s="37">
        <f t="shared" si="5"/>
        <v>406797</v>
      </c>
      <c r="Q36" s="24">
        <v>2024</v>
      </c>
      <c r="R36" s="40">
        <f t="shared" si="6"/>
        <v>0.47567214114165052</v>
      </c>
      <c r="S36" s="40">
        <f t="shared" si="7"/>
        <v>0.28432977627661954</v>
      </c>
      <c r="T36" s="40">
        <f t="shared" si="8"/>
        <v>0.16613323107102559</v>
      </c>
      <c r="U36" s="40">
        <f t="shared" si="9"/>
        <v>7.3864851510704363E-2</v>
      </c>
      <c r="V36" s="40">
        <f t="shared" si="10"/>
        <v>0</v>
      </c>
      <c r="W36" s="40">
        <f t="shared" si="11"/>
        <v>0</v>
      </c>
      <c r="X36" s="40">
        <f t="shared" si="12"/>
        <v>0</v>
      </c>
      <c r="Y36" s="40">
        <f t="shared" si="13"/>
        <v>0</v>
      </c>
      <c r="Z36" s="40">
        <f t="shared" si="14"/>
        <v>0</v>
      </c>
      <c r="AA36" s="40">
        <f t="shared" si="15"/>
        <v>0</v>
      </c>
      <c r="AB36" s="40">
        <f t="shared" si="16"/>
        <v>0</v>
      </c>
      <c r="AC36" s="41">
        <f t="shared" si="17"/>
        <v>1</v>
      </c>
    </row>
    <row r="37" spans="2:29">
      <c r="B37" s="24">
        <v>2025</v>
      </c>
      <c r="C37" s="25">
        <f t="shared" ref="C37:M37" si="22">D23</f>
        <v>197706.5</v>
      </c>
      <c r="D37" s="25">
        <f t="shared" si="22"/>
        <v>117730.5</v>
      </c>
      <c r="E37" s="25">
        <f t="shared" si="22"/>
        <v>69393.5</v>
      </c>
      <c r="F37" s="25">
        <f t="shared" si="22"/>
        <v>31635.5</v>
      </c>
      <c r="G37" s="25">
        <f t="shared" si="22"/>
        <v>0</v>
      </c>
      <c r="H37" s="25">
        <f t="shared" si="22"/>
        <v>0</v>
      </c>
      <c r="I37" s="25">
        <f t="shared" si="22"/>
        <v>0</v>
      </c>
      <c r="J37" s="25">
        <f t="shared" si="22"/>
        <v>0</v>
      </c>
      <c r="K37" s="25">
        <f t="shared" si="22"/>
        <v>0</v>
      </c>
      <c r="L37" s="25">
        <f t="shared" si="22"/>
        <v>0</v>
      </c>
      <c r="M37" s="25">
        <f t="shared" si="22"/>
        <v>0</v>
      </c>
      <c r="N37" s="37">
        <f t="shared" si="5"/>
        <v>416466</v>
      </c>
      <c r="Q37" s="24">
        <v>2025</v>
      </c>
      <c r="R37" s="40">
        <f t="shared" si="6"/>
        <v>0.47472422718781365</v>
      </c>
      <c r="S37" s="40">
        <f t="shared" si="7"/>
        <v>0.28268934318767919</v>
      </c>
      <c r="T37" s="40">
        <f t="shared" si="8"/>
        <v>0.16662464642972055</v>
      </c>
      <c r="U37" s="40">
        <f t="shared" si="9"/>
        <v>7.5961783194786608E-2</v>
      </c>
      <c r="V37" s="40">
        <f t="shared" si="10"/>
        <v>0</v>
      </c>
      <c r="W37" s="40">
        <f t="shared" si="11"/>
        <v>0</v>
      </c>
      <c r="X37" s="40">
        <f t="shared" si="12"/>
        <v>0</v>
      </c>
      <c r="Y37" s="40">
        <f t="shared" si="13"/>
        <v>0</v>
      </c>
      <c r="Z37" s="40">
        <f t="shared" si="14"/>
        <v>0</v>
      </c>
      <c r="AA37" s="40">
        <f t="shared" si="15"/>
        <v>0</v>
      </c>
      <c r="AB37" s="40">
        <f t="shared" si="16"/>
        <v>0</v>
      </c>
      <c r="AC37" s="41">
        <f t="shared" si="17"/>
        <v>1</v>
      </c>
    </row>
    <row r="38" spans="2:29">
      <c r="B38" s="24">
        <v>2026</v>
      </c>
      <c r="C38" s="25">
        <f t="shared" ref="C38:M38" si="23">D24</f>
        <v>198960</v>
      </c>
      <c r="D38" s="25">
        <f t="shared" si="23"/>
        <v>115456</v>
      </c>
      <c r="E38" s="25">
        <f t="shared" si="23"/>
        <v>69569.5</v>
      </c>
      <c r="F38" s="25">
        <f t="shared" si="23"/>
        <v>30086</v>
      </c>
      <c r="G38" s="25">
        <f t="shared" si="23"/>
        <v>0</v>
      </c>
      <c r="H38" s="25">
        <f t="shared" si="23"/>
        <v>0</v>
      </c>
      <c r="I38" s="25">
        <f t="shared" si="23"/>
        <v>0</v>
      </c>
      <c r="J38" s="25">
        <f t="shared" si="23"/>
        <v>0</v>
      </c>
      <c r="K38" s="25">
        <f t="shared" si="23"/>
        <v>0</v>
      </c>
      <c r="L38" s="25">
        <f t="shared" si="23"/>
        <v>0</v>
      </c>
      <c r="M38" s="25">
        <f t="shared" si="23"/>
        <v>0</v>
      </c>
      <c r="N38" s="37">
        <f t="shared" si="5"/>
        <v>414071.5</v>
      </c>
      <c r="Q38" s="24">
        <v>2026</v>
      </c>
      <c r="R38" s="40">
        <f t="shared" si="6"/>
        <v>0.48049672580701641</v>
      </c>
      <c r="S38" s="40">
        <f t="shared" si="7"/>
        <v>0.27883107144539049</v>
      </c>
      <c r="T38" s="40">
        <f t="shared" si="8"/>
        <v>0.16801325374965434</v>
      </c>
      <c r="U38" s="40">
        <f t="shared" si="9"/>
        <v>7.265894899793876E-2</v>
      </c>
      <c r="V38" s="40">
        <f t="shared" si="10"/>
        <v>0</v>
      </c>
      <c r="W38" s="40">
        <f t="shared" si="11"/>
        <v>0</v>
      </c>
      <c r="X38" s="40">
        <f t="shared" si="12"/>
        <v>0</v>
      </c>
      <c r="Y38" s="40">
        <f t="shared" si="13"/>
        <v>0</v>
      </c>
      <c r="Z38" s="40">
        <f t="shared" si="14"/>
        <v>0</v>
      </c>
      <c r="AA38" s="40">
        <f t="shared" si="15"/>
        <v>0</v>
      </c>
      <c r="AB38" s="40">
        <f t="shared" si="16"/>
        <v>0</v>
      </c>
      <c r="AC38" s="41">
        <f t="shared" si="17"/>
        <v>1</v>
      </c>
    </row>
    <row r="39" spans="2:29">
      <c r="B39" s="24">
        <v>2027</v>
      </c>
      <c r="C39" s="25">
        <f t="shared" ref="C39:M39" si="24">D25</f>
        <v>195055</v>
      </c>
      <c r="D39" s="25">
        <f t="shared" si="24"/>
        <v>112936</v>
      </c>
      <c r="E39" s="25">
        <f t="shared" si="24"/>
        <v>66644</v>
      </c>
      <c r="F39" s="25">
        <f t="shared" si="24"/>
        <v>28576.75</v>
      </c>
      <c r="G39" s="25">
        <f t="shared" si="24"/>
        <v>0</v>
      </c>
      <c r="H39" s="25">
        <f t="shared" si="24"/>
        <v>0</v>
      </c>
      <c r="I39" s="25">
        <f t="shared" si="24"/>
        <v>0</v>
      </c>
      <c r="J39" s="25">
        <f t="shared" si="24"/>
        <v>0</v>
      </c>
      <c r="K39" s="25">
        <f t="shared" si="24"/>
        <v>0</v>
      </c>
      <c r="L39" s="25">
        <f t="shared" si="24"/>
        <v>0</v>
      </c>
      <c r="M39" s="25">
        <f t="shared" si="24"/>
        <v>0</v>
      </c>
      <c r="N39" s="37">
        <f t="shared" si="5"/>
        <v>403211.75</v>
      </c>
      <c r="Q39" s="24">
        <v>2027</v>
      </c>
      <c r="R39" s="40">
        <f t="shared" si="6"/>
        <v>0.48375326363877047</v>
      </c>
      <c r="S39" s="40">
        <f t="shared" si="7"/>
        <v>0.28009104397379292</v>
      </c>
      <c r="T39" s="40">
        <f t="shared" si="8"/>
        <v>0.16528288176125819</v>
      </c>
      <c r="U39" s="40">
        <f t="shared" si="9"/>
        <v>7.0872810626178423E-2</v>
      </c>
      <c r="V39" s="40">
        <f t="shared" si="10"/>
        <v>0</v>
      </c>
      <c r="W39" s="40">
        <f t="shared" si="11"/>
        <v>0</v>
      </c>
      <c r="X39" s="40">
        <f t="shared" si="12"/>
        <v>0</v>
      </c>
      <c r="Y39" s="40">
        <f t="shared" si="13"/>
        <v>0</v>
      </c>
      <c r="Z39" s="40">
        <f t="shared" si="14"/>
        <v>0</v>
      </c>
      <c r="AA39" s="40">
        <f t="shared" si="15"/>
        <v>0</v>
      </c>
      <c r="AB39" s="40">
        <f t="shared" si="16"/>
        <v>0</v>
      </c>
      <c r="AC39" s="41">
        <f t="shared" si="17"/>
        <v>1</v>
      </c>
    </row>
    <row r="40" spans="2:29" ht="15.75" thickBot="1">
      <c r="B40" s="30">
        <v>2028</v>
      </c>
      <c r="C40" s="38">
        <f t="shared" ref="C40:M40" si="25">D26</f>
        <v>190283</v>
      </c>
      <c r="D40" s="38">
        <f t="shared" si="25"/>
        <v>107880.5</v>
      </c>
      <c r="E40" s="38">
        <f t="shared" si="25"/>
        <v>64348</v>
      </c>
      <c r="F40" s="38">
        <f t="shared" si="25"/>
        <v>27701</v>
      </c>
      <c r="G40" s="38">
        <f t="shared" si="25"/>
        <v>0</v>
      </c>
      <c r="H40" s="38">
        <f t="shared" si="25"/>
        <v>0</v>
      </c>
      <c r="I40" s="38">
        <f t="shared" si="25"/>
        <v>0</v>
      </c>
      <c r="J40" s="38">
        <f t="shared" si="25"/>
        <v>0</v>
      </c>
      <c r="K40" s="38">
        <f t="shared" si="25"/>
        <v>0</v>
      </c>
      <c r="L40" s="38">
        <f t="shared" si="25"/>
        <v>0</v>
      </c>
      <c r="M40" s="38">
        <f t="shared" si="25"/>
        <v>0</v>
      </c>
      <c r="N40" s="39">
        <f t="shared" si="5"/>
        <v>390212.5</v>
      </c>
      <c r="Q40" s="30">
        <v>2028</v>
      </c>
      <c r="R40" s="42">
        <f t="shared" si="6"/>
        <v>0.48763942723516035</v>
      </c>
      <c r="S40" s="42">
        <f t="shared" si="7"/>
        <v>0.27646602812570076</v>
      </c>
      <c r="T40" s="42">
        <f t="shared" si="8"/>
        <v>0.16490501970080404</v>
      </c>
      <c r="U40" s="42">
        <f t="shared" si="9"/>
        <v>7.098952493833488E-2</v>
      </c>
      <c r="V40" s="42">
        <f t="shared" si="10"/>
        <v>0</v>
      </c>
      <c r="W40" s="42">
        <f t="shared" si="11"/>
        <v>0</v>
      </c>
      <c r="X40" s="42">
        <f t="shared" si="12"/>
        <v>0</v>
      </c>
      <c r="Y40" s="42">
        <f t="shared" si="13"/>
        <v>0</v>
      </c>
      <c r="Z40" s="42">
        <f t="shared" si="14"/>
        <v>0</v>
      </c>
      <c r="AA40" s="42">
        <f t="shared" si="15"/>
        <v>0</v>
      </c>
      <c r="AB40" s="42">
        <f t="shared" si="16"/>
        <v>0</v>
      </c>
      <c r="AC40" s="43">
        <f t="shared" si="17"/>
        <v>1</v>
      </c>
    </row>
    <row r="42" spans="2:29" ht="15.75" thickBot="1"/>
    <row r="43" spans="2:29">
      <c r="Q43" s="44"/>
      <c r="R43" s="45" t="str">
        <f>Q17</f>
        <v>AL</v>
      </c>
      <c r="S43" s="45" t="s">
        <v>50</v>
      </c>
      <c r="T43" s="46" t="s">
        <v>51</v>
      </c>
    </row>
    <row r="44" spans="2:29">
      <c r="Q44" s="24">
        <v>2020</v>
      </c>
      <c r="R44" s="25">
        <f>Q18</f>
        <v>100</v>
      </c>
      <c r="S44" s="25">
        <f>R18*R32+S18*S32+T18*T32+U18*U32+V18*V32+W18*W32+X18*X32+Y18*Y32+Z18*Z32+AA18*AA32+AB18*AB32</f>
        <v>100</v>
      </c>
      <c r="T44" s="37">
        <f>'State comparison'!M8</f>
        <v>100</v>
      </c>
    </row>
    <row r="45" spans="2:29">
      <c r="Q45" s="24">
        <v>2021</v>
      </c>
      <c r="R45" s="25">
        <f t="shared" ref="R45:R52" si="26">Q19</f>
        <v>96.908217446270541</v>
      </c>
      <c r="S45" s="75">
        <f>R19*R33+S19*S33+T19*T33+U19*U33+V19*V33+W19*W33+X19*X33+Y19*Y33+Z19*Z33+AA19*AA33+AB19*AB33</f>
        <v>101.6464155184961</v>
      </c>
      <c r="T45" s="37">
        <f>'State comparison'!M9</f>
        <v>101.54656920849337</v>
      </c>
    </row>
    <row r="46" spans="2:29">
      <c r="Q46" s="24">
        <v>2022</v>
      </c>
      <c r="R46" s="25">
        <f t="shared" si="26"/>
        <v>94.944121365360303</v>
      </c>
      <c r="S46" s="25">
        <f t="shared" ref="S46:S52" si="27">R20*R34+S20*S34+T20*T34+U20*U34+V20*V34+W20*W34+X20*X34+Y20*Y34+Z20*Z34+AA20*AA34+AB20*AB34</f>
        <v>101.33497936242244</v>
      </c>
      <c r="T46" s="37">
        <f>'State comparison'!M10</f>
        <v>101.47632003796625</v>
      </c>
    </row>
    <row r="47" spans="2:29">
      <c r="Q47" s="24">
        <v>2023</v>
      </c>
      <c r="R47" s="25">
        <f t="shared" si="26"/>
        <v>98.783312262958276</v>
      </c>
      <c r="S47" s="25">
        <f t="shared" si="27"/>
        <v>102.41913893718618</v>
      </c>
      <c r="T47" s="37">
        <f>'State comparison'!M11</f>
        <v>102.52998232553335</v>
      </c>
    </row>
    <row r="48" spans="2:29">
      <c r="Q48" s="24">
        <v>2024</v>
      </c>
      <c r="R48" s="25">
        <f t="shared" si="26"/>
        <v>100.61390644753476</v>
      </c>
      <c r="S48" s="25">
        <f t="shared" si="27"/>
        <v>104.702215060131</v>
      </c>
      <c r="T48" s="37">
        <f>'State comparison'!M12</f>
        <v>103.27485142483678</v>
      </c>
    </row>
    <row r="49" spans="17:20">
      <c r="Q49" s="24">
        <v>2025</v>
      </c>
      <c r="R49" s="25">
        <f t="shared" si="26"/>
        <v>100.99823008849557</v>
      </c>
      <c r="S49" s="25">
        <f t="shared" si="27"/>
        <v>107.20777563381034</v>
      </c>
      <c r="T49" s="37">
        <f>'State comparison'!M13</f>
        <v>105.96495033888144</v>
      </c>
    </row>
    <row r="50" spans="17:20">
      <c r="Q50" s="24">
        <v>2026</v>
      </c>
      <c r="R50" s="25">
        <f t="shared" si="26"/>
        <v>102.1299620733249</v>
      </c>
      <c r="S50" s="25">
        <f t="shared" si="27"/>
        <v>106.67191664372942</v>
      </c>
      <c r="T50" s="37">
        <f>'State comparison'!M14</f>
        <v>104.60860734117188</v>
      </c>
    </row>
    <row r="51" spans="17:20">
      <c r="Q51" s="24">
        <v>2027</v>
      </c>
      <c r="R51" s="25">
        <f t="shared" si="26"/>
        <v>97.414917825537302</v>
      </c>
      <c r="S51" s="25">
        <f t="shared" si="27"/>
        <v>103.89623994876189</v>
      </c>
      <c r="T51" s="37">
        <f>'State comparison'!M15</f>
        <v>101.79789395995476</v>
      </c>
    </row>
    <row r="52" spans="17:20" ht="15.75" thickBot="1">
      <c r="Q52" s="30">
        <v>2028</v>
      </c>
      <c r="R52" s="38">
        <f t="shared" si="26"/>
        <v>94.408091024020223</v>
      </c>
      <c r="S52" s="38">
        <f t="shared" si="27"/>
        <v>100.63001033912596</v>
      </c>
      <c r="T52" s="39">
        <f>'State comparison'!M16</f>
        <v>99.692211042648609</v>
      </c>
    </row>
  </sheetData>
  <sheetProtection algorithmName="SHA-512" hashValue="eJgDuLnfWvh4ZaJsAfpFqQ7uKHGR0lqQIZ4BmSNNQs8ArlJJOL2rZQV2LLHFIw+83EadvfuEKuK3Oxr5QMq44w==" saltValue="bTi29KXyLhRABGRotcOVxw==" spinCount="100000" sheet="1" objects="1" scenarios="1" selectLockedCells="1" selectUnlockedCells="1"/>
  <mergeCells count="6">
    <mergeCell ref="B1:N1"/>
    <mergeCell ref="P1:AB1"/>
    <mergeCell ref="B16:N16"/>
    <mergeCell ref="P16:AB16"/>
    <mergeCell ref="B30:N30"/>
    <mergeCell ref="Q30:AC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DA4C5-98F6-4E37-A59D-9027247BBDD7}">
  <sheetPr codeName="Sheet5">
    <tabColor theme="2" tint="-0.249977111117893"/>
  </sheetPr>
  <dimension ref="A1"/>
  <sheetViews>
    <sheetView workbookViewId="0">
      <selection activeCell="N37" sqref="N37"/>
    </sheetView>
  </sheetViews>
  <sheetFormatPr defaultColWidth="8.85546875" defaultRowHeight="15"/>
  <sheetData/>
  <sheetProtection algorithmName="SHA-512" hashValue="HjrULoREW2vVxJgV1G0o52i2Dj/xT0Ml6UlqZLVRotWYJ8SMet3QwQakmFJwY8h5Jap2jYk6XJvBQhEbwT2N/Q==" saltValue="a45Wn38f8kVzKikAv1cA+w=="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87F80-3E4E-4AC3-A254-7DA6BB7FF892}">
  <sheetPr codeName="Sheet6"/>
  <dimension ref="A1:A21"/>
  <sheetViews>
    <sheetView workbookViewId="0">
      <selection activeCell="P40" sqref="P40"/>
    </sheetView>
  </sheetViews>
  <sheetFormatPr defaultColWidth="8.85546875" defaultRowHeight="15"/>
  <sheetData>
    <row r="1" spans="1:1">
      <c r="A1" s="1" t="s">
        <v>52</v>
      </c>
    </row>
    <row r="2" spans="1:1">
      <c r="A2">
        <v>0.05</v>
      </c>
    </row>
    <row r="3" spans="1:1">
      <c r="A3">
        <v>0.1</v>
      </c>
    </row>
    <row r="4" spans="1:1">
      <c r="A4">
        <v>0.15</v>
      </c>
    </row>
    <row r="5" spans="1:1">
      <c r="A5">
        <v>0.2</v>
      </c>
    </row>
    <row r="6" spans="1:1">
      <c r="A6">
        <v>0.25</v>
      </c>
    </row>
    <row r="7" spans="1:1">
      <c r="A7">
        <v>0.3</v>
      </c>
    </row>
    <row r="8" spans="1:1">
      <c r="A8">
        <v>0.35</v>
      </c>
    </row>
    <row r="9" spans="1:1">
      <c r="A9">
        <v>0.4</v>
      </c>
    </row>
    <row r="10" spans="1:1">
      <c r="A10">
        <v>0.45</v>
      </c>
    </row>
    <row r="11" spans="1:1">
      <c r="A11">
        <v>0.5</v>
      </c>
    </row>
    <row r="12" spans="1:1">
      <c r="A12">
        <v>0.55000000000000004</v>
      </c>
    </row>
    <row r="13" spans="1:1">
      <c r="A13">
        <v>0.6</v>
      </c>
    </row>
    <row r="14" spans="1:1">
      <c r="A14">
        <v>0.65</v>
      </c>
    </row>
    <row r="15" spans="1:1">
      <c r="A15">
        <v>0.7</v>
      </c>
    </row>
    <row r="16" spans="1:1">
      <c r="A16">
        <v>0.75</v>
      </c>
    </row>
    <row r="17" spans="1:1">
      <c r="A17">
        <v>0.8</v>
      </c>
    </row>
    <row r="18" spans="1:1">
      <c r="A18">
        <v>0.85</v>
      </c>
    </row>
    <row r="19" spans="1:1">
      <c r="A19">
        <v>0.9</v>
      </c>
    </row>
    <row r="20" spans="1:1">
      <c r="A20">
        <v>0.95</v>
      </c>
    </row>
    <row r="21" spans="1:1">
      <c r="A21">
        <v>1</v>
      </c>
    </row>
  </sheetData>
  <sheetProtection algorithmName="SHA-512" hashValue="35xvxu6bxYvO7BO1qMOEOPoFl3ZQL57nq5kKSipxVLtk7jgH6gAZtB20zrPEz3IqGYVQSADPHh3/kcgAegDqDQ==" saltValue="x3YKtyEIt1Xs6cwI2j7n8A=="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E146E-1402-4EB8-88A5-5144322986C2}">
  <sheetPr codeName="Sheet7"/>
  <dimension ref="A1:B52"/>
  <sheetViews>
    <sheetView workbookViewId="0">
      <selection activeCell="P40" sqref="P40"/>
    </sheetView>
  </sheetViews>
  <sheetFormatPr defaultColWidth="8.85546875" defaultRowHeight="15"/>
  <cols>
    <col min="2" max="2" width="17.85546875" bestFit="1" customWidth="1"/>
  </cols>
  <sheetData>
    <row r="1" spans="1:2" ht="15.75">
      <c r="A1" s="82" t="s">
        <v>53</v>
      </c>
      <c r="B1" s="82"/>
    </row>
    <row r="2" spans="1:2" ht="15.75">
      <c r="A2" s="17" t="s">
        <v>54</v>
      </c>
      <c r="B2" s="17" t="s">
        <v>55</v>
      </c>
    </row>
    <row r="3" spans="1:2" ht="15.75">
      <c r="A3" s="17" t="s">
        <v>56</v>
      </c>
      <c r="B3" s="17" t="s">
        <v>55</v>
      </c>
    </row>
    <row r="4" spans="1:2" ht="15.75">
      <c r="A4" s="17" t="s">
        <v>57</v>
      </c>
      <c r="B4" s="17" t="s">
        <v>55</v>
      </c>
    </row>
    <row r="5" spans="1:2" ht="15.75">
      <c r="A5" s="17" t="s">
        <v>58</v>
      </c>
      <c r="B5" s="17" t="s">
        <v>55</v>
      </c>
    </row>
    <row r="6" spans="1:2" ht="15.75">
      <c r="A6" s="17" t="s">
        <v>59</v>
      </c>
      <c r="B6" s="17" t="s">
        <v>55</v>
      </c>
    </row>
    <row r="7" spans="1:2" ht="15.75">
      <c r="A7" s="17" t="s">
        <v>60</v>
      </c>
      <c r="B7" s="17" t="s">
        <v>55</v>
      </c>
    </row>
    <row r="8" spans="1:2" ht="15.75">
      <c r="A8" s="17" t="s">
        <v>61</v>
      </c>
      <c r="B8" s="17" t="s">
        <v>62</v>
      </c>
    </row>
    <row r="9" spans="1:2" ht="15.75">
      <c r="A9" s="17" t="s">
        <v>63</v>
      </c>
      <c r="B9" s="17" t="s">
        <v>62</v>
      </c>
    </row>
    <row r="10" spans="1:2" ht="15.75">
      <c r="A10" s="17" t="s">
        <v>64</v>
      </c>
      <c r="B10" s="17" t="s">
        <v>62</v>
      </c>
    </row>
    <row r="11" spans="1:2" ht="15.75">
      <c r="A11" s="17" t="s">
        <v>65</v>
      </c>
      <c r="B11" s="17" t="s">
        <v>66</v>
      </c>
    </row>
    <row r="12" spans="1:2" ht="15.75">
      <c r="A12" s="17" t="s">
        <v>67</v>
      </c>
      <c r="B12" s="17" t="s">
        <v>66</v>
      </c>
    </row>
    <row r="13" spans="1:2" ht="15.75">
      <c r="A13" s="17" t="s">
        <v>68</v>
      </c>
      <c r="B13" s="17" t="s">
        <v>66</v>
      </c>
    </row>
    <row r="14" spans="1:2" ht="15.75">
      <c r="A14" s="17" t="s">
        <v>69</v>
      </c>
      <c r="B14" s="17" t="s">
        <v>66</v>
      </c>
    </row>
    <row r="15" spans="1:2" ht="15.75">
      <c r="A15" s="17" t="s">
        <v>70</v>
      </c>
      <c r="B15" s="17" t="s">
        <v>66</v>
      </c>
    </row>
    <row r="16" spans="1:2" ht="15.75">
      <c r="A16" s="17" t="s">
        <v>71</v>
      </c>
      <c r="B16" s="17" t="s">
        <v>72</v>
      </c>
    </row>
    <row r="17" spans="1:2" ht="15.75">
      <c r="A17" s="17" t="s">
        <v>73</v>
      </c>
      <c r="B17" s="17" t="s">
        <v>72</v>
      </c>
    </row>
    <row r="18" spans="1:2" ht="15.75">
      <c r="A18" s="17" t="s">
        <v>74</v>
      </c>
      <c r="B18" s="17" t="s">
        <v>72</v>
      </c>
    </row>
    <row r="19" spans="1:2" ht="15.75">
      <c r="A19" s="17" t="s">
        <v>75</v>
      </c>
      <c r="B19" s="17" t="s">
        <v>72</v>
      </c>
    </row>
    <row r="20" spans="1:2" ht="15.75">
      <c r="A20" s="17" t="s">
        <v>76</v>
      </c>
      <c r="B20" s="17" t="s">
        <v>72</v>
      </c>
    </row>
    <row r="21" spans="1:2" ht="15.75">
      <c r="A21" s="17" t="s">
        <v>77</v>
      </c>
      <c r="B21" s="17" t="s">
        <v>72</v>
      </c>
    </row>
    <row r="22" spans="1:2" ht="15.75">
      <c r="A22" s="17" t="s">
        <v>78</v>
      </c>
      <c r="B22" s="17" t="s">
        <v>72</v>
      </c>
    </row>
    <row r="23" spans="1:2" ht="15.75">
      <c r="A23" s="17" t="s">
        <v>79</v>
      </c>
      <c r="B23" s="17" t="s">
        <v>80</v>
      </c>
    </row>
    <row r="24" spans="1:2" ht="15.75">
      <c r="A24" s="17" t="s">
        <v>81</v>
      </c>
      <c r="B24" s="17" t="s">
        <v>80</v>
      </c>
    </row>
    <row r="25" spans="1:2" ht="15.75">
      <c r="A25" s="17" t="s">
        <v>82</v>
      </c>
      <c r="B25" s="17" t="s">
        <v>80</v>
      </c>
    </row>
    <row r="26" spans="1:2" ht="15.75">
      <c r="A26" s="17" t="s">
        <v>83</v>
      </c>
      <c r="B26" s="17" t="s">
        <v>80</v>
      </c>
    </row>
    <row r="27" spans="1:2" ht="15.75">
      <c r="A27" s="17" t="s">
        <v>84</v>
      </c>
      <c r="B27" s="17" t="s">
        <v>80</v>
      </c>
    </row>
    <row r="28" spans="1:2" ht="15.75">
      <c r="A28" s="17" t="s">
        <v>85</v>
      </c>
      <c r="B28" s="17" t="s">
        <v>80</v>
      </c>
    </row>
    <row r="29" spans="1:2" ht="15.75">
      <c r="A29" s="17" t="s">
        <v>86</v>
      </c>
      <c r="B29" s="17" t="s">
        <v>80</v>
      </c>
    </row>
    <row r="30" spans="1:2" ht="15.75">
      <c r="A30" s="17" t="s">
        <v>87</v>
      </c>
      <c r="B30" s="17" t="s">
        <v>80</v>
      </c>
    </row>
    <row r="31" spans="1:2" ht="15.75">
      <c r="A31" s="17" t="s">
        <v>88</v>
      </c>
      <c r="B31" s="17" t="s">
        <v>80</v>
      </c>
    </row>
    <row r="32" spans="1:2" ht="15.75">
      <c r="A32" s="17" t="s">
        <v>1</v>
      </c>
      <c r="B32" s="17" t="s">
        <v>89</v>
      </c>
    </row>
    <row r="33" spans="1:2" ht="15.75">
      <c r="A33" s="17" t="s">
        <v>90</v>
      </c>
      <c r="B33" s="17" t="s">
        <v>89</v>
      </c>
    </row>
    <row r="34" spans="1:2" ht="15.75">
      <c r="A34" s="17" t="s">
        <v>91</v>
      </c>
      <c r="B34" s="17" t="s">
        <v>89</v>
      </c>
    </row>
    <row r="35" spans="1:2" ht="15.75">
      <c r="A35" s="17" t="s">
        <v>92</v>
      </c>
      <c r="B35" s="17" t="s">
        <v>89</v>
      </c>
    </row>
    <row r="36" spans="1:2" ht="15.75">
      <c r="A36" s="17" t="s">
        <v>93</v>
      </c>
      <c r="B36" s="17" t="s">
        <v>94</v>
      </c>
    </row>
    <row r="37" spans="1:2" ht="15.75">
      <c r="A37" s="17" t="s">
        <v>95</v>
      </c>
      <c r="B37" s="17" t="s">
        <v>94</v>
      </c>
    </row>
    <row r="38" spans="1:2" ht="15.75">
      <c r="A38" s="17" t="s">
        <v>96</v>
      </c>
      <c r="B38" s="17" t="s">
        <v>94</v>
      </c>
    </row>
    <row r="39" spans="1:2" ht="15.75">
      <c r="A39" s="17" t="s">
        <v>97</v>
      </c>
      <c r="B39" s="17" t="s">
        <v>94</v>
      </c>
    </row>
    <row r="40" spans="1:2" ht="15.75">
      <c r="A40" s="17" t="s">
        <v>98</v>
      </c>
      <c r="B40" s="17" t="s">
        <v>99</v>
      </c>
    </row>
    <row r="41" spans="1:2" ht="15.75">
      <c r="A41" s="17" t="s">
        <v>100</v>
      </c>
      <c r="B41" s="17" t="s">
        <v>99</v>
      </c>
    </row>
    <row r="42" spans="1:2" ht="15.75">
      <c r="A42" s="17" t="s">
        <v>101</v>
      </c>
      <c r="B42" s="17" t="s">
        <v>99</v>
      </c>
    </row>
    <row r="43" spans="1:2" ht="15.75">
      <c r="A43" s="17" t="s">
        <v>102</v>
      </c>
      <c r="B43" s="17" t="s">
        <v>99</v>
      </c>
    </row>
    <row r="44" spans="1:2" ht="15.75">
      <c r="A44" s="17" t="s">
        <v>103</v>
      </c>
      <c r="B44" s="17" t="s">
        <v>99</v>
      </c>
    </row>
    <row r="45" spans="1:2" ht="15.75">
      <c r="A45" s="17" t="s">
        <v>104</v>
      </c>
      <c r="B45" s="17" t="s">
        <v>99</v>
      </c>
    </row>
    <row r="46" spans="1:2" ht="15.75">
      <c r="A46" s="17" t="s">
        <v>105</v>
      </c>
      <c r="B46" s="17" t="s">
        <v>99</v>
      </c>
    </row>
    <row r="47" spans="1:2" ht="15.75">
      <c r="A47" s="17" t="s">
        <v>106</v>
      </c>
      <c r="B47" s="17" t="s">
        <v>99</v>
      </c>
    </row>
    <row r="48" spans="1:2" ht="15.75">
      <c r="A48" s="17" t="s">
        <v>107</v>
      </c>
      <c r="B48" s="17" t="s">
        <v>108</v>
      </c>
    </row>
    <row r="49" spans="1:2" ht="15.75">
      <c r="A49" s="17" t="s">
        <v>109</v>
      </c>
      <c r="B49" s="17" t="s">
        <v>108</v>
      </c>
    </row>
    <row r="50" spans="1:2" ht="15.75">
      <c r="A50" s="17" t="s">
        <v>110</v>
      </c>
      <c r="B50" s="17" t="s">
        <v>108</v>
      </c>
    </row>
    <row r="51" spans="1:2" ht="15.75">
      <c r="A51" s="17" t="s">
        <v>111</v>
      </c>
      <c r="B51" s="17" t="s">
        <v>108</v>
      </c>
    </row>
    <row r="52" spans="1:2" ht="15.75">
      <c r="A52" s="17" t="s">
        <v>112</v>
      </c>
      <c r="B52" s="17" t="s">
        <v>108</v>
      </c>
    </row>
  </sheetData>
  <sheetProtection algorithmName="SHA-512" hashValue="y26Hv9qlP7EEOBTFpdZyan8OEeOAWf6mU1AqjevywTWmscqEuHzlhwstB7FR7ODOaX2+W38JK5s5sSsgC+ER1g==" saltValue="q0p+UguckAZ4MRh6MOAZVQ==" spinCount="100000" sheet="1" objects="1" scenarios="1" selectLockedCells="1" selectUnlockedCells="1"/>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E0CA-3B85-4F25-A6A1-07530FF8E43D}">
  <sheetPr codeName="Sheet8"/>
  <dimension ref="A1:L52"/>
  <sheetViews>
    <sheetView zoomScale="140" zoomScaleNormal="140" workbookViewId="0">
      <selection activeCell="P40" sqref="P40"/>
    </sheetView>
  </sheetViews>
  <sheetFormatPr defaultColWidth="8.85546875" defaultRowHeight="15"/>
  <cols>
    <col min="2" max="10" width="17.42578125" bestFit="1" customWidth="1"/>
    <col min="11" max="11" width="18.42578125" bestFit="1" customWidth="1"/>
    <col min="12" max="12" width="16.140625" customWidth="1"/>
    <col min="13" max="13" width="16.140625" bestFit="1" customWidth="1"/>
  </cols>
  <sheetData>
    <row r="1" spans="1:12">
      <c r="A1" s="1" t="s">
        <v>113</v>
      </c>
      <c r="B1" s="1" t="s">
        <v>114</v>
      </c>
      <c r="C1" s="1" t="s">
        <v>115</v>
      </c>
      <c r="D1" s="1" t="s">
        <v>116</v>
      </c>
      <c r="E1" s="1" t="s">
        <v>117</v>
      </c>
      <c r="F1" s="1" t="s">
        <v>118</v>
      </c>
      <c r="G1" s="1" t="s">
        <v>119</v>
      </c>
      <c r="H1" s="1" t="s">
        <v>120</v>
      </c>
      <c r="I1" s="1" t="s">
        <v>121</v>
      </c>
      <c r="J1" s="1" t="s">
        <v>122</v>
      </c>
      <c r="K1" s="1" t="s">
        <v>123</v>
      </c>
      <c r="L1" s="1" t="s">
        <v>124</v>
      </c>
    </row>
    <row r="2" spans="1:12">
      <c r="A2" s="3" t="s">
        <v>1</v>
      </c>
      <c r="B2" t="s">
        <v>81</v>
      </c>
      <c r="C2" t="s">
        <v>82</v>
      </c>
      <c r="D2" t="s">
        <v>92</v>
      </c>
      <c r="E2" t="s">
        <v>91</v>
      </c>
    </row>
    <row r="3" spans="1:12">
      <c r="A3" s="3" t="s">
        <v>107</v>
      </c>
    </row>
    <row r="4" spans="1:12">
      <c r="A4" s="3" t="s">
        <v>98</v>
      </c>
      <c r="B4" t="s">
        <v>109</v>
      </c>
      <c r="C4" t="s">
        <v>100</v>
      </c>
      <c r="D4" t="s">
        <v>103</v>
      </c>
      <c r="E4" t="s">
        <v>104</v>
      </c>
      <c r="F4" t="s">
        <v>105</v>
      </c>
    </row>
    <row r="5" spans="1:12">
      <c r="A5" s="3" t="s">
        <v>93</v>
      </c>
      <c r="B5" t="s">
        <v>95</v>
      </c>
      <c r="C5" t="s">
        <v>91</v>
      </c>
      <c r="D5" t="s">
        <v>75</v>
      </c>
      <c r="E5" t="s">
        <v>96</v>
      </c>
      <c r="F5" t="s">
        <v>92</v>
      </c>
      <c r="G5" t="s">
        <v>97</v>
      </c>
    </row>
    <row r="6" spans="1:12">
      <c r="A6" s="3" t="s">
        <v>109</v>
      </c>
      <c r="B6" t="s">
        <v>98</v>
      </c>
      <c r="C6" t="s">
        <v>103</v>
      </c>
      <c r="D6" t="s">
        <v>111</v>
      </c>
    </row>
    <row r="7" spans="1:12">
      <c r="A7" s="3" t="s">
        <v>100</v>
      </c>
      <c r="B7" t="s">
        <v>105</v>
      </c>
      <c r="C7" t="s">
        <v>98</v>
      </c>
      <c r="D7" t="s">
        <v>104</v>
      </c>
      <c r="E7" t="s">
        <v>76</v>
      </c>
      <c r="F7" t="s">
        <v>73</v>
      </c>
      <c r="G7" t="s">
        <v>96</v>
      </c>
      <c r="H7" t="s">
        <v>106</v>
      </c>
    </row>
    <row r="8" spans="1:12">
      <c r="A8" s="3" t="s">
        <v>54</v>
      </c>
      <c r="B8" t="s">
        <v>57</v>
      </c>
      <c r="C8" t="s">
        <v>63</v>
      </c>
      <c r="D8" t="s">
        <v>59</v>
      </c>
    </row>
    <row r="9" spans="1:12">
      <c r="A9" s="3" t="s">
        <v>79</v>
      </c>
      <c r="B9" t="s">
        <v>83</v>
      </c>
      <c r="C9" t="s">
        <v>61</v>
      </c>
      <c r="D9" t="s">
        <v>64</v>
      </c>
    </row>
    <row r="10" spans="1:12">
      <c r="A10" s="3" t="s">
        <v>87</v>
      </c>
      <c r="B10" t="s">
        <v>83</v>
      </c>
      <c r="C10" t="s">
        <v>86</v>
      </c>
    </row>
    <row r="11" spans="1:12">
      <c r="A11" s="3" t="s">
        <v>81</v>
      </c>
      <c r="B11" t="s">
        <v>1</v>
      </c>
      <c r="C11" t="s">
        <v>82</v>
      </c>
    </row>
    <row r="12" spans="1:12">
      <c r="A12" s="3" t="s">
        <v>82</v>
      </c>
      <c r="B12" t="s">
        <v>1</v>
      </c>
      <c r="C12" t="s">
        <v>81</v>
      </c>
      <c r="D12" t="s">
        <v>84</v>
      </c>
      <c r="E12" t="s">
        <v>85</v>
      </c>
      <c r="F12" t="s">
        <v>92</v>
      </c>
    </row>
    <row r="13" spans="1:12">
      <c r="A13" s="3" t="s">
        <v>110</v>
      </c>
    </row>
    <row r="14" spans="1:12">
      <c r="A14" s="3" t="s">
        <v>101</v>
      </c>
      <c r="B14" t="s">
        <v>102</v>
      </c>
      <c r="C14" t="s">
        <v>103</v>
      </c>
      <c r="D14" t="s">
        <v>111</v>
      </c>
      <c r="E14" t="s">
        <v>105</v>
      </c>
      <c r="F14" t="s">
        <v>112</v>
      </c>
      <c r="G14" t="s">
        <v>106</v>
      </c>
    </row>
    <row r="15" spans="1:12">
      <c r="A15" s="3" t="s">
        <v>65</v>
      </c>
      <c r="B15" t="s">
        <v>67</v>
      </c>
      <c r="C15" t="s">
        <v>71</v>
      </c>
      <c r="D15" t="s">
        <v>68</v>
      </c>
      <c r="E15" t="s">
        <v>90</v>
      </c>
      <c r="F15" t="s">
        <v>75</v>
      </c>
      <c r="G15" t="s">
        <v>70</v>
      </c>
    </row>
    <row r="16" spans="1:12">
      <c r="A16" s="3" t="s">
        <v>67</v>
      </c>
      <c r="B16" t="s">
        <v>65</v>
      </c>
      <c r="C16" t="s">
        <v>90</v>
      </c>
      <c r="D16" t="s">
        <v>68</v>
      </c>
      <c r="E16" t="s">
        <v>69</v>
      </c>
    </row>
    <row r="17" spans="1:9">
      <c r="A17" s="3" t="s">
        <v>71</v>
      </c>
      <c r="B17" t="s">
        <v>65</v>
      </c>
      <c r="C17" t="s">
        <v>74</v>
      </c>
      <c r="D17" t="s">
        <v>75</v>
      </c>
      <c r="E17" t="s">
        <v>76</v>
      </c>
      <c r="F17" t="s">
        <v>78</v>
      </c>
      <c r="G17" t="s">
        <v>70</v>
      </c>
    </row>
    <row r="18" spans="1:9">
      <c r="A18" s="3" t="s">
        <v>73</v>
      </c>
      <c r="B18" t="s">
        <v>100</v>
      </c>
      <c r="C18" t="s">
        <v>75</v>
      </c>
      <c r="D18" t="s">
        <v>76</v>
      </c>
      <c r="E18" t="s">
        <v>96</v>
      </c>
    </row>
    <row r="19" spans="1:9">
      <c r="A19" s="3" t="s">
        <v>90</v>
      </c>
      <c r="B19" t="s">
        <v>65</v>
      </c>
      <c r="C19" t="s">
        <v>67</v>
      </c>
      <c r="D19" t="s">
        <v>75</v>
      </c>
      <c r="E19" t="s">
        <v>69</v>
      </c>
      <c r="F19" t="s">
        <v>92</v>
      </c>
      <c r="G19" t="s">
        <v>86</v>
      </c>
      <c r="H19" t="s">
        <v>88</v>
      </c>
    </row>
    <row r="20" spans="1:9">
      <c r="A20" s="3" t="s">
        <v>95</v>
      </c>
      <c r="B20" t="s">
        <v>93</v>
      </c>
      <c r="C20" t="s">
        <v>91</v>
      </c>
      <c r="D20" t="s">
        <v>97</v>
      </c>
    </row>
    <row r="21" spans="1:9">
      <c r="A21" s="3" t="s">
        <v>56</v>
      </c>
      <c r="B21" t="s">
        <v>58</v>
      </c>
    </row>
    <row r="22" spans="1:9">
      <c r="A22" s="3" t="s">
        <v>83</v>
      </c>
      <c r="B22" t="s">
        <v>79</v>
      </c>
      <c r="C22" t="s">
        <v>64</v>
      </c>
      <c r="D22" t="s">
        <v>86</v>
      </c>
      <c r="E22" t="s">
        <v>88</v>
      </c>
      <c r="F22" t="s">
        <v>87</v>
      </c>
    </row>
    <row r="23" spans="1:9">
      <c r="A23" s="3" t="s">
        <v>57</v>
      </c>
      <c r="B23" t="s">
        <v>54</v>
      </c>
      <c r="C23" t="s">
        <v>58</v>
      </c>
      <c r="D23" t="s">
        <v>63</v>
      </c>
      <c r="E23" t="s">
        <v>59</v>
      </c>
      <c r="F23" t="s">
        <v>60</v>
      </c>
    </row>
    <row r="24" spans="1:9">
      <c r="A24" s="3" t="s">
        <v>68</v>
      </c>
      <c r="B24" t="s">
        <v>65</v>
      </c>
      <c r="C24" t="s">
        <v>67</v>
      </c>
      <c r="D24" t="s">
        <v>74</v>
      </c>
      <c r="E24" t="s">
        <v>69</v>
      </c>
      <c r="F24" t="s">
        <v>70</v>
      </c>
    </row>
    <row r="25" spans="1:9">
      <c r="A25" s="3" t="s">
        <v>74</v>
      </c>
      <c r="B25" t="s">
        <v>71</v>
      </c>
      <c r="C25" t="s">
        <v>68</v>
      </c>
      <c r="D25" t="s">
        <v>77</v>
      </c>
      <c r="E25" t="s">
        <v>78</v>
      </c>
      <c r="F25" t="s">
        <v>70</v>
      </c>
    </row>
    <row r="26" spans="1:9">
      <c r="A26" s="3" t="s">
        <v>91</v>
      </c>
      <c r="B26" t="s">
        <v>1</v>
      </c>
      <c r="C26" t="s">
        <v>93</v>
      </c>
      <c r="D26" t="s">
        <v>95</v>
      </c>
      <c r="E26" t="s">
        <v>92</v>
      </c>
    </row>
    <row r="27" spans="1:9">
      <c r="A27" s="3" t="s">
        <v>75</v>
      </c>
      <c r="B27" t="s">
        <v>93</v>
      </c>
      <c r="C27" t="s">
        <v>65</v>
      </c>
      <c r="D27" t="s">
        <v>71</v>
      </c>
      <c r="E27" t="s">
        <v>73</v>
      </c>
      <c r="F27" t="s">
        <v>90</v>
      </c>
      <c r="G27" t="s">
        <v>76</v>
      </c>
      <c r="H27" t="s">
        <v>96</v>
      </c>
      <c r="I27" t="s">
        <v>92</v>
      </c>
    </row>
    <row r="28" spans="1:9">
      <c r="A28" s="3" t="s">
        <v>102</v>
      </c>
      <c r="B28" t="s">
        <v>101</v>
      </c>
      <c r="C28" t="s">
        <v>77</v>
      </c>
      <c r="D28" t="s">
        <v>78</v>
      </c>
      <c r="E28" t="s">
        <v>106</v>
      </c>
    </row>
    <row r="29" spans="1:9">
      <c r="A29" s="3" t="s">
        <v>76</v>
      </c>
      <c r="B29" t="s">
        <v>100</v>
      </c>
      <c r="C29" t="s">
        <v>71</v>
      </c>
      <c r="D29" t="s">
        <v>73</v>
      </c>
      <c r="E29" t="s">
        <v>75</v>
      </c>
      <c r="F29" t="s">
        <v>78</v>
      </c>
      <c r="G29" t="s">
        <v>106</v>
      </c>
    </row>
    <row r="30" spans="1:9">
      <c r="A30" s="3" t="s">
        <v>103</v>
      </c>
      <c r="B30" t="s">
        <v>98</v>
      </c>
      <c r="C30" t="s">
        <v>109</v>
      </c>
      <c r="D30" t="s">
        <v>101</v>
      </c>
      <c r="E30" t="s">
        <v>111</v>
      </c>
      <c r="F30" t="s">
        <v>105</v>
      </c>
    </row>
    <row r="31" spans="1:9">
      <c r="A31" s="3" t="s">
        <v>58</v>
      </c>
      <c r="B31" t="s">
        <v>56</v>
      </c>
      <c r="C31" t="s">
        <v>57</v>
      </c>
      <c r="D31" t="s">
        <v>60</v>
      </c>
    </row>
    <row r="32" spans="1:9">
      <c r="A32" s="3" t="s">
        <v>61</v>
      </c>
      <c r="B32" t="s">
        <v>79</v>
      </c>
      <c r="C32" t="s">
        <v>63</v>
      </c>
      <c r="D32" t="s">
        <v>64</v>
      </c>
    </row>
    <row r="33" spans="1:9">
      <c r="A33" s="3" t="s">
        <v>104</v>
      </c>
      <c r="B33" t="s">
        <v>98</v>
      </c>
      <c r="C33" t="s">
        <v>100</v>
      </c>
      <c r="D33" t="s">
        <v>96</v>
      </c>
      <c r="E33" t="s">
        <v>97</v>
      </c>
      <c r="F33" t="s">
        <v>105</v>
      </c>
    </row>
    <row r="34" spans="1:9">
      <c r="A34" s="3" t="s">
        <v>63</v>
      </c>
      <c r="B34" t="s">
        <v>54</v>
      </c>
      <c r="C34" t="s">
        <v>57</v>
      </c>
      <c r="D34" t="s">
        <v>61</v>
      </c>
      <c r="E34" t="s">
        <v>64</v>
      </c>
      <c r="F34" t="s">
        <v>59</v>
      </c>
      <c r="G34" t="s">
        <v>60</v>
      </c>
    </row>
    <row r="35" spans="1:9">
      <c r="A35" s="3" t="s">
        <v>84</v>
      </c>
      <c r="B35" t="s">
        <v>82</v>
      </c>
      <c r="C35" t="s">
        <v>85</v>
      </c>
      <c r="D35" t="s">
        <v>92</v>
      </c>
      <c r="E35" t="s">
        <v>86</v>
      </c>
    </row>
    <row r="36" spans="1:9">
      <c r="A36" s="3" t="s">
        <v>77</v>
      </c>
      <c r="B36" t="s">
        <v>74</v>
      </c>
      <c r="C36" t="s">
        <v>102</v>
      </c>
      <c r="D36" t="s">
        <v>78</v>
      </c>
    </row>
    <row r="37" spans="1:9">
      <c r="A37" s="3" t="s">
        <v>69</v>
      </c>
      <c r="B37" t="s">
        <v>67</v>
      </c>
      <c r="C37" t="s">
        <v>90</v>
      </c>
      <c r="D37" t="s">
        <v>68</v>
      </c>
      <c r="E37" t="s">
        <v>64</v>
      </c>
      <c r="F37" t="s">
        <v>88</v>
      </c>
    </row>
    <row r="38" spans="1:9">
      <c r="A38" s="3" t="s">
        <v>96</v>
      </c>
      <c r="B38" t="s">
        <v>93</v>
      </c>
      <c r="C38" t="s">
        <v>100</v>
      </c>
      <c r="D38" t="s">
        <v>73</v>
      </c>
      <c r="E38" t="s">
        <v>75</v>
      </c>
      <c r="F38" t="s">
        <v>104</v>
      </c>
      <c r="G38" t="s">
        <v>97</v>
      </c>
    </row>
    <row r="39" spans="1:9">
      <c r="A39" s="3" t="s">
        <v>111</v>
      </c>
      <c r="B39" t="s">
        <v>109</v>
      </c>
      <c r="C39" t="s">
        <v>101</v>
      </c>
      <c r="D39" t="s">
        <v>103</v>
      </c>
      <c r="E39" t="s">
        <v>112</v>
      </c>
    </row>
    <row r="40" spans="1:9">
      <c r="A40" s="3" t="s">
        <v>64</v>
      </c>
      <c r="B40" t="s">
        <v>79</v>
      </c>
      <c r="C40" t="s">
        <v>83</v>
      </c>
      <c r="D40" t="s">
        <v>61</v>
      </c>
      <c r="E40" t="s">
        <v>63</v>
      </c>
      <c r="F40" t="s">
        <v>69</v>
      </c>
      <c r="G40" t="s">
        <v>88</v>
      </c>
    </row>
    <row r="41" spans="1:9">
      <c r="A41" s="3" t="s">
        <v>59</v>
      </c>
      <c r="B41" t="s">
        <v>54</v>
      </c>
      <c r="C41" t="s">
        <v>57</v>
      </c>
      <c r="D41" t="s">
        <v>63</v>
      </c>
    </row>
    <row r="42" spans="1:9">
      <c r="A42" s="3" t="s">
        <v>85</v>
      </c>
      <c r="B42" t="s">
        <v>82</v>
      </c>
      <c r="C42" t="s">
        <v>84</v>
      </c>
    </row>
    <row r="43" spans="1:9">
      <c r="A43" s="3" t="s">
        <v>78</v>
      </c>
      <c r="B43" t="s">
        <v>71</v>
      </c>
      <c r="C43" t="s">
        <v>74</v>
      </c>
      <c r="D43" t="s">
        <v>102</v>
      </c>
      <c r="E43" t="s">
        <v>76</v>
      </c>
      <c r="F43" t="s">
        <v>77</v>
      </c>
      <c r="G43" t="s">
        <v>106</v>
      </c>
    </row>
    <row r="44" spans="1:9">
      <c r="A44" s="3" t="s">
        <v>92</v>
      </c>
      <c r="B44" t="s">
        <v>1</v>
      </c>
      <c r="C44" t="s">
        <v>93</v>
      </c>
      <c r="D44" t="s">
        <v>82</v>
      </c>
      <c r="E44" t="s">
        <v>90</v>
      </c>
      <c r="F44" t="s">
        <v>91</v>
      </c>
      <c r="G44" t="s">
        <v>75</v>
      </c>
      <c r="H44" t="s">
        <v>84</v>
      </c>
      <c r="I44" t="s">
        <v>86</v>
      </c>
    </row>
    <row r="45" spans="1:9">
      <c r="A45" s="3" t="s">
        <v>97</v>
      </c>
      <c r="B45" t="s">
        <v>93</v>
      </c>
      <c r="C45" t="s">
        <v>95</v>
      </c>
      <c r="D45" t="s">
        <v>104</v>
      </c>
      <c r="E45" t="s">
        <v>96</v>
      </c>
    </row>
    <row r="46" spans="1:9">
      <c r="A46" s="3" t="s">
        <v>105</v>
      </c>
      <c r="B46" t="s">
        <v>98</v>
      </c>
      <c r="C46" t="s">
        <v>100</v>
      </c>
      <c r="D46" t="s">
        <v>101</v>
      </c>
      <c r="E46" t="s">
        <v>103</v>
      </c>
      <c r="F46" t="s">
        <v>104</v>
      </c>
      <c r="G46" t="s">
        <v>106</v>
      </c>
    </row>
    <row r="47" spans="1:9">
      <c r="A47" s="3" t="s">
        <v>60</v>
      </c>
      <c r="B47" t="s">
        <v>57</v>
      </c>
      <c r="C47" t="s">
        <v>58</v>
      </c>
      <c r="D47" t="s">
        <v>63</v>
      </c>
    </row>
    <row r="48" spans="1:9">
      <c r="A48" s="3" t="s">
        <v>86</v>
      </c>
      <c r="B48" t="s">
        <v>90</v>
      </c>
      <c r="C48" t="s">
        <v>83</v>
      </c>
      <c r="D48" t="s">
        <v>84</v>
      </c>
      <c r="E48" t="s">
        <v>92</v>
      </c>
      <c r="F48" t="s">
        <v>88</v>
      </c>
      <c r="G48" t="s">
        <v>87</v>
      </c>
    </row>
    <row r="49" spans="1:7">
      <c r="A49" s="3" t="s">
        <v>112</v>
      </c>
      <c r="B49" t="s">
        <v>101</v>
      </c>
      <c r="C49" t="s">
        <v>111</v>
      </c>
    </row>
    <row r="50" spans="1:7">
      <c r="A50" s="3" t="s">
        <v>88</v>
      </c>
      <c r="B50" t="s">
        <v>90</v>
      </c>
      <c r="C50" t="s">
        <v>83</v>
      </c>
      <c r="D50" t="s">
        <v>69</v>
      </c>
      <c r="E50" t="s">
        <v>64</v>
      </c>
      <c r="F50" t="s">
        <v>86</v>
      </c>
    </row>
    <row r="51" spans="1:7">
      <c r="A51" s="3" t="s">
        <v>70</v>
      </c>
      <c r="B51" t="s">
        <v>65</v>
      </c>
      <c r="C51" t="s">
        <v>71</v>
      </c>
      <c r="D51" t="s">
        <v>68</v>
      </c>
      <c r="E51" t="s">
        <v>74</v>
      </c>
    </row>
    <row r="52" spans="1:7">
      <c r="A52" s="3" t="s">
        <v>106</v>
      </c>
      <c r="B52" t="s">
        <v>100</v>
      </c>
      <c r="C52" t="s">
        <v>101</v>
      </c>
      <c r="D52" t="s">
        <v>102</v>
      </c>
      <c r="E52" t="s">
        <v>76</v>
      </c>
      <c r="F52" t="s">
        <v>78</v>
      </c>
      <c r="G52" t="s">
        <v>105</v>
      </c>
    </row>
  </sheetData>
  <sheetProtection algorithmName="SHA-512" hashValue="OBikrGnYBJsiNLKqJL8EPJUfVAIYTWHnvqVfY7k32NDtlnlBcztk9/rlhbXVs48MwWIF0mVB26GlnoJN8kAlqw==" saltValue="GmgXrJrgrwAjak+WxormbA=="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F1D7-6D62-4F4B-BC87-E4305DB33534}">
  <sheetPr codeName="Sheet9">
    <tabColor theme="2" tint="-0.249977111117893"/>
  </sheetPr>
  <dimension ref="B2:XFD3"/>
  <sheetViews>
    <sheetView workbookViewId="0">
      <selection activeCell="P40" sqref="P40"/>
    </sheetView>
  </sheetViews>
  <sheetFormatPr defaultColWidth="8.85546875" defaultRowHeight="15"/>
  <sheetData>
    <row r="2" spans="2:5 16384:16384">
      <c r="B2" t="s">
        <v>113</v>
      </c>
      <c r="C2" t="s">
        <v>125</v>
      </c>
      <c r="D2" t="s">
        <v>125</v>
      </c>
      <c r="E2" t="s">
        <v>125</v>
      </c>
      <c r="XFD2" t="s">
        <v>125</v>
      </c>
    </row>
    <row r="3" spans="2:5 16384:16384">
      <c r="B3" t="s">
        <v>82</v>
      </c>
      <c r="C3" t="s">
        <v>126</v>
      </c>
      <c r="D3" t="s">
        <v>126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c46a156-ff84-42d2-9c6c-4b0261a797e8">
      <UserInfo>
        <DisplayName>Kathy Brahan</DisplayName>
        <AccountId>394</AccountId>
        <AccountType/>
      </UserInfo>
      <UserInfo>
        <DisplayName>Matt Hagg</DisplayName>
        <AccountId>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15C567F6A55544B456F7E406E603D9" ma:contentTypeVersion="12" ma:contentTypeDescription="Create a new document." ma:contentTypeScope="" ma:versionID="6ef9e05d45a10ed487c1ce731b399468">
  <xsd:schema xmlns:xsd="http://www.w3.org/2001/XMLSchema" xmlns:xs="http://www.w3.org/2001/XMLSchema" xmlns:p="http://schemas.microsoft.com/office/2006/metadata/properties" xmlns:ns2="3015157b-edfe-4adf-baa0-8789c3b56b13" xmlns:ns3="dc46a156-ff84-42d2-9c6c-4b0261a797e8" targetNamespace="http://schemas.microsoft.com/office/2006/metadata/properties" ma:root="true" ma:fieldsID="343c2623b12fe02cd8d2f4ff480ff70f" ns2:_="" ns3:_="">
    <xsd:import namespace="3015157b-edfe-4adf-baa0-8789c3b56b13"/>
    <xsd:import namespace="dc46a156-ff84-42d2-9c6c-4b0261a797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5157b-edfe-4adf-baa0-8789c3b56b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46a156-ff84-42d2-9c6c-4b0261a797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477FBC-960E-42EF-ADE9-EC4664BEAF3E}"/>
</file>

<file path=customXml/itemProps2.xml><?xml version="1.0" encoding="utf-8"?>
<ds:datastoreItem xmlns:ds="http://schemas.openxmlformats.org/officeDocument/2006/customXml" ds:itemID="{1FD06928-F7F5-4DF6-8C1D-4B7057D3122F}"/>
</file>

<file path=customXml/itemProps3.xml><?xml version="1.0" encoding="utf-8"?>
<ds:datastoreItem xmlns:ds="http://schemas.openxmlformats.org/officeDocument/2006/customXml" ds:itemID="{CA663931-4BFE-4B02-AF41-867E6061F8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 Robben</dc:creator>
  <cp:keywords/>
  <dc:description/>
  <cp:lastModifiedBy/>
  <cp:revision/>
  <dcterms:created xsi:type="dcterms:W3CDTF">2021-04-01T13:07:29Z</dcterms:created>
  <dcterms:modified xsi:type="dcterms:W3CDTF">2021-06-15T21:00:04Z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0x010100B215C567F6A55544B456F7E406E603D9</vt:lpwstr>
  </property>
  <property fmtid="{D5CDD505-2E9C-101B-9397-08002B2CF9AE}" pid="3" name="Order">
    <vt:r8>35400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ies>
</file>